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Questa_cartella_di_lavoro" defaultThemeVersion="124226"/>
  <bookViews>
    <workbookView xWindow="240" yWindow="105" windowWidth="14805" windowHeight="8010"/>
  </bookViews>
  <sheets>
    <sheet name="Fattura" sheetId="1" r:id="rId1"/>
    <sheet name="Rimborso" sheetId="4" r:id="rId2"/>
    <sheet name="Recupero" sheetId="5" r:id="rId3"/>
    <sheet name="Menu" sheetId="2" r:id="rId4"/>
    <sheet name="Archivio" sheetId="3" r:id="rId5"/>
    <sheet name="DB_NotedC." sheetId="6" r:id="rId6"/>
  </sheets>
  <calcPr calcId="152511"/>
</workbook>
</file>

<file path=xl/calcChain.xml><?xml version="1.0" encoding="utf-8"?>
<calcChain xmlns="http://schemas.openxmlformats.org/spreadsheetml/2006/main">
  <c r="G23" i="4" l="1"/>
  <c r="G24" i="4"/>
  <c r="G25" i="4"/>
  <c r="G26" i="4"/>
  <c r="G27" i="4"/>
  <c r="G28" i="4"/>
  <c r="G29" i="4"/>
  <c r="G30" i="4"/>
  <c r="G31" i="4"/>
  <c r="G32" i="4"/>
  <c r="G33" i="4"/>
  <c r="G34" i="4"/>
  <c r="G22" i="1"/>
  <c r="G23" i="1"/>
  <c r="G24" i="1"/>
  <c r="G25" i="1"/>
  <c r="G26" i="1"/>
  <c r="G27" i="1"/>
  <c r="G28" i="1"/>
  <c r="G29" i="1"/>
  <c r="G30" i="1"/>
  <c r="G31" i="1"/>
  <c r="G32" i="1"/>
  <c r="G21" i="1"/>
  <c r="DE1" i="3" l="1"/>
  <c r="C4" i="5" l="1"/>
  <c r="C5" i="5"/>
  <c r="DF1" i="3"/>
  <c r="C20" i="1"/>
  <c r="B18" i="5" l="1"/>
  <c r="B17" i="5"/>
  <c r="C3" i="1" l="1"/>
  <c r="G36" i="4" l="1"/>
  <c r="B36" i="4" s="1"/>
  <c r="D24" i="2"/>
  <c r="D25" i="2"/>
  <c r="D26" i="2"/>
  <c r="D27" i="2"/>
  <c r="D28" i="2"/>
  <c r="D29" i="2"/>
  <c r="D30" i="2"/>
  <c r="D31" i="2"/>
  <c r="D32" i="2"/>
  <c r="D33" i="2"/>
  <c r="D34" i="2"/>
  <c r="D23" i="2"/>
  <c r="B21" i="2"/>
  <c r="B38" i="4" l="1"/>
  <c r="C25" i="2"/>
  <c r="C26" i="2"/>
  <c r="C27" i="2"/>
  <c r="F41" i="2" s="1"/>
  <c r="C28" i="2"/>
  <c r="C29" i="2"/>
  <c r="C30" i="2"/>
  <c r="C31" i="2"/>
  <c r="C32" i="2"/>
  <c r="C33" i="2"/>
  <c r="C34" i="2"/>
  <c r="C23" i="2"/>
  <c r="C3" i="4"/>
  <c r="C6" i="4" s="1"/>
  <c r="B37" i="4" s="1"/>
  <c r="G39" i="2" l="1"/>
  <c r="G41" i="2"/>
  <c r="G40" i="2"/>
  <c r="C24" i="2"/>
  <c r="F40" i="2" s="1"/>
  <c r="B5" i="2"/>
  <c r="F39" i="2" l="1"/>
  <c r="G37" i="4"/>
  <c r="D11" i="5"/>
  <c r="D12" i="5"/>
  <c r="D13" i="5"/>
  <c r="D14" i="5"/>
  <c r="D15" i="5"/>
  <c r="C45" i="5" s="1"/>
  <c r="D16" i="5"/>
  <c r="D17" i="5"/>
  <c r="D10" i="5"/>
  <c r="D9" i="5"/>
  <c r="C4" i="1"/>
  <c r="D17" i="4"/>
  <c r="D12" i="4"/>
  <c r="D13" i="4"/>
  <c r="D14" i="4"/>
  <c r="D15" i="4"/>
  <c r="D16" i="4"/>
  <c r="C44" i="4" s="1"/>
  <c r="D18" i="4"/>
  <c r="D11" i="4"/>
  <c r="D10" i="4"/>
  <c r="E22" i="4"/>
  <c r="D22" i="4"/>
  <c r="C22" i="4"/>
  <c r="G38" i="4" l="1"/>
  <c r="C36" i="2" s="1"/>
  <c r="H40" i="2" s="1"/>
  <c r="M5" i="1"/>
  <c r="A23" i="2"/>
  <c r="A24" i="2"/>
  <c r="A25" i="2"/>
  <c r="A26" i="2"/>
  <c r="A28" i="2"/>
  <c r="A29" i="2"/>
  <c r="A30" i="2"/>
  <c r="A31" i="2"/>
  <c r="A32" i="2"/>
  <c r="A21" i="2"/>
  <c r="B41" i="2"/>
  <c r="B39" i="2"/>
  <c r="B22" i="2"/>
  <c r="B23" i="2"/>
  <c r="B24" i="2"/>
  <c r="B25" i="2"/>
  <c r="B26" i="2"/>
  <c r="B27" i="2"/>
  <c r="B28" i="2"/>
  <c r="B29" i="2"/>
  <c r="B30" i="2"/>
  <c r="B31" i="2"/>
  <c r="B32" i="2"/>
  <c r="D20" i="1"/>
  <c r="C41" i="2" l="1"/>
  <c r="H39" i="2"/>
  <c r="H41" i="2"/>
  <c r="D39" i="2"/>
  <c r="A27" i="2"/>
  <c r="C39" i="2" s="1"/>
  <c r="D39" i="4"/>
  <c r="B40" i="2"/>
  <c r="G34" i="1"/>
  <c r="D42" i="2"/>
  <c r="A22" i="2"/>
  <c r="D40" i="2"/>
  <c r="D41" i="2"/>
  <c r="C40" i="2" l="1"/>
  <c r="G36" i="2"/>
  <c r="D40" i="1"/>
  <c r="A37" i="2"/>
  <c r="G37" i="1"/>
  <c r="B42" i="1"/>
  <c r="B43" i="1"/>
  <c r="B44" i="1"/>
  <c r="C47" i="1"/>
  <c r="E20" i="1"/>
  <c r="E41" i="2" l="1"/>
  <c r="E40" i="2"/>
  <c r="E39" i="2"/>
  <c r="B40" i="1"/>
  <c r="A34" i="2" l="1"/>
  <c r="G38" i="1" l="1"/>
  <c r="G39" i="1" s="1"/>
  <c r="E23" i="5" l="1"/>
  <c r="G38" i="5"/>
  <c r="B27" i="5"/>
  <c r="F32" i="5"/>
  <c r="E30" i="5"/>
  <c r="G23" i="5"/>
  <c r="D25" i="5"/>
  <c r="E22" i="5"/>
  <c r="E32" i="5"/>
  <c r="G35" i="5"/>
  <c r="F23" i="5"/>
  <c r="E31" i="5"/>
  <c r="B8" i="5"/>
  <c r="B10" i="5"/>
  <c r="B21" i="5"/>
  <c r="F26" i="5"/>
  <c r="B30" i="5"/>
  <c r="B41" i="5"/>
  <c r="G31" i="5"/>
  <c r="D31" i="5"/>
  <c r="B23" i="5"/>
  <c r="D29" i="5"/>
  <c r="E21" i="5"/>
  <c r="B28" i="5"/>
  <c r="B14" i="5"/>
  <c r="B25" i="5"/>
  <c r="G28" i="5"/>
  <c r="D21" i="5"/>
  <c r="G24" i="5"/>
  <c r="B13" i="5"/>
  <c r="F28" i="5"/>
  <c r="B29" i="5"/>
  <c r="F20" i="5"/>
  <c r="E28" i="5"/>
  <c r="D24" i="5"/>
  <c r="C29" i="5"/>
  <c r="F21" i="5"/>
  <c r="B32" i="5"/>
  <c r="G22" i="5"/>
  <c r="E25" i="5"/>
  <c r="G27" i="5"/>
  <c r="F22" i="5"/>
  <c r="B11" i="5"/>
  <c r="D27" i="5"/>
  <c r="B38" i="5"/>
  <c r="F31" i="5"/>
  <c r="G26" i="5"/>
  <c r="G32" i="5"/>
  <c r="C31" i="5"/>
  <c r="C23" i="5"/>
  <c r="B12" i="5"/>
  <c r="G30" i="5"/>
  <c r="G34" i="5"/>
  <c r="D23" i="5"/>
  <c r="D26" i="5"/>
  <c r="B15" i="5"/>
  <c r="F25" i="5"/>
  <c r="E27" i="5"/>
  <c r="B22" i="5"/>
  <c r="B40" i="5"/>
  <c r="C32" i="5"/>
  <c r="C30" i="5"/>
  <c r="C24" i="5"/>
  <c r="F29" i="5"/>
  <c r="D28" i="5"/>
  <c r="G25" i="5"/>
  <c r="C27" i="5"/>
  <c r="F30" i="5"/>
  <c r="B26" i="5"/>
  <c r="E26" i="5"/>
  <c r="G29" i="5"/>
  <c r="G37" i="5"/>
  <c r="E29" i="5"/>
  <c r="B31" i="5"/>
  <c r="F27" i="5"/>
  <c r="E24" i="5"/>
  <c r="C28" i="5"/>
  <c r="C26" i="5"/>
  <c r="B24" i="5"/>
  <c r="B9" i="5"/>
  <c r="D22" i="5"/>
  <c r="F24" i="5"/>
  <c r="C25" i="5"/>
  <c r="D32" i="5"/>
  <c r="G39" i="5"/>
  <c r="B16" i="5"/>
  <c r="C22" i="5"/>
  <c r="G21" i="5"/>
  <c r="D30" i="5"/>
  <c r="B20" i="5"/>
  <c r="E20" i="5" s="1"/>
  <c r="G36" i="5"/>
  <c r="C21" i="5"/>
  <c r="B39" i="5"/>
  <c r="D40" i="5" l="1"/>
  <c r="B37" i="5"/>
  <c r="D20" i="5"/>
  <c r="C20" i="5"/>
  <c r="B41" i="1" l="1"/>
</calcChain>
</file>

<file path=xl/sharedStrings.xml><?xml version="1.0" encoding="utf-8"?>
<sst xmlns="http://schemas.openxmlformats.org/spreadsheetml/2006/main" count="345" uniqueCount="200">
  <si>
    <t>Dati Cliente</t>
  </si>
  <si>
    <t>Nome</t>
  </si>
  <si>
    <t>Via e numero</t>
  </si>
  <si>
    <t>(altro)</t>
  </si>
  <si>
    <t>Città</t>
  </si>
  <si>
    <t>C.A.P.</t>
  </si>
  <si>
    <t>Provincia</t>
  </si>
  <si>
    <t>Paese</t>
  </si>
  <si>
    <t>Telefono</t>
  </si>
  <si>
    <t>email</t>
  </si>
  <si>
    <t>Azienda XYZ</t>
  </si>
  <si>
    <t>via Italia 100</t>
  </si>
  <si>
    <t>Roma</t>
  </si>
  <si>
    <t>00001</t>
  </si>
  <si>
    <t>RM</t>
  </si>
  <si>
    <t>Italia</t>
  </si>
  <si>
    <t>xyz@xyz.it</t>
  </si>
  <si>
    <t>P.IVA 00091270028</t>
  </si>
  <si>
    <t>Fattura n.:</t>
  </si>
  <si>
    <t>del</t>
  </si>
  <si>
    <t>PayPal</t>
  </si>
  <si>
    <t>Bonifico</t>
  </si>
  <si>
    <t>Contanti</t>
  </si>
  <si>
    <t>Assegno</t>
  </si>
  <si>
    <t>Modalità di Pagamento</t>
  </si>
  <si>
    <t>Prodotto</t>
  </si>
  <si>
    <t>Totale Riga</t>
  </si>
  <si>
    <t>IVA inc.</t>
  </si>
  <si>
    <t>+ IVA%</t>
  </si>
  <si>
    <t>Prestazione</t>
  </si>
  <si>
    <t>prodotto 1</t>
  </si>
  <si>
    <t>prodotto 2</t>
  </si>
  <si>
    <t>prodotto 3</t>
  </si>
  <si>
    <t>prodotto 4</t>
  </si>
  <si>
    <t>prodotto 5</t>
  </si>
  <si>
    <t>prodotto 6</t>
  </si>
  <si>
    <t>prodotto 8</t>
  </si>
  <si>
    <t>prodotto 9</t>
  </si>
  <si>
    <t>prodotto 10</t>
  </si>
  <si>
    <t>prodotto 11</t>
  </si>
  <si>
    <t>Scaglioni IVA</t>
  </si>
  <si>
    <t>prodotto 12</t>
  </si>
  <si>
    <t>Sconto %</t>
  </si>
  <si>
    <t>Sconto €</t>
  </si>
  <si>
    <t>Lordo</t>
  </si>
  <si>
    <t>Parziale</t>
  </si>
  <si>
    <t>Netto</t>
  </si>
  <si>
    <t>IVA €</t>
  </si>
  <si>
    <t>Specifiche di pagamento 1</t>
  </si>
  <si>
    <t>Specifiche di pagamento 2</t>
  </si>
  <si>
    <t>Pagare l'ammontare dovuto a email:</t>
  </si>
  <si>
    <t>Specifiche di pagamento 3</t>
  </si>
  <si>
    <t>Codice SWIFT: 9876543210</t>
  </si>
  <si>
    <t>Codice IBAN: IT49B0760100132233801000102</t>
  </si>
  <si>
    <t>Grazie per averci scelto</t>
  </si>
  <si>
    <t>Per info e assistenza chiamare:</t>
  </si>
  <si>
    <t>IVA su Prodotti/Prestazioni Vendute</t>
  </si>
  <si>
    <t>IVA sullo Sconto:</t>
  </si>
  <si>
    <t>Max or not?</t>
  </si>
  <si>
    <t>n Fattura</t>
  </si>
  <si>
    <t>prodotto 7</t>
  </si>
  <si>
    <t>da inviare</t>
  </si>
  <si>
    <t>inviata e in attesa di p.</t>
  </si>
  <si>
    <t>pagata</t>
  </si>
  <si>
    <t>rimborsata TOT</t>
  </si>
  <si>
    <t>rimborsata parz.</t>
  </si>
  <si>
    <t>altro</t>
  </si>
  <si>
    <t>scadenza</t>
  </si>
  <si>
    <t>Sconti</t>
  </si>
  <si>
    <t>Entrambi</t>
  </si>
  <si>
    <t>Solo %</t>
  </si>
  <si>
    <t>Solo €</t>
  </si>
  <si>
    <t>Sconti Applicabili</t>
  </si>
  <si>
    <t>None</t>
  </si>
  <si>
    <t>Stati Fatture</t>
  </si>
  <si>
    <t>Fascia MAX</t>
  </si>
  <si>
    <t>Fascia Medio</t>
  </si>
  <si>
    <t>Fascia min</t>
  </si>
  <si>
    <t>Sconto tot</t>
  </si>
  <si>
    <t>IVA %</t>
  </si>
  <si>
    <t>Max IVA detraibile per fascia</t>
  </si>
  <si>
    <t>IVA sullo sconto</t>
  </si>
  <si>
    <t>Max detraibile in euro</t>
  </si>
  <si>
    <t>questo è impo per capire il che fascia siamo</t>
  </si>
  <si>
    <t>codice 1</t>
  </si>
  <si>
    <t>codice 2</t>
  </si>
  <si>
    <t>codice 3</t>
  </si>
  <si>
    <t>codice 4</t>
  </si>
  <si>
    <t>codice 5</t>
  </si>
  <si>
    <t>codice 6</t>
  </si>
  <si>
    <t>codice 7</t>
  </si>
  <si>
    <t>codice 8</t>
  </si>
  <si>
    <t>codice 9</t>
  </si>
  <si>
    <t>codice 10</t>
  </si>
  <si>
    <t>codice 11</t>
  </si>
  <si>
    <t>codice 12</t>
  </si>
  <si>
    <t>modalità</t>
  </si>
  <si>
    <t>Prezzo U 1</t>
  </si>
  <si>
    <t>Prezzo U 2</t>
  </si>
  <si>
    <t>Prezzo U 3</t>
  </si>
  <si>
    <t>Prezzo U 4</t>
  </si>
  <si>
    <t>Prezzo U 5</t>
  </si>
  <si>
    <t>Prezzo U 6</t>
  </si>
  <si>
    <t>Prezzo U 7</t>
  </si>
  <si>
    <t>Prezzo U 8</t>
  </si>
  <si>
    <t>Prezzo U 9</t>
  </si>
  <si>
    <t>Prezzo U 10</t>
  </si>
  <si>
    <t>Prezzo U 11</t>
  </si>
  <si>
    <t>Prezzo U 12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</si>
  <si>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</si>
  <si>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</si>
  <si>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</si>
  <si>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</si>
  <si>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</si>
  <si>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</si>
  <si>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</si>
  <si>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</si>
  <si>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</si>
  <si>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</si>
  <si>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</si>
  <si>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</si>
  <si>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IVA % 1</t>
  </si>
  <si>
    <t>IVA % 2</t>
  </si>
  <si>
    <t>IVA % 3</t>
  </si>
  <si>
    <t>IVA % 4</t>
  </si>
  <si>
    <t>IVA % 5</t>
  </si>
  <si>
    <t>IVA % 6</t>
  </si>
  <si>
    <t>IVA % 7</t>
  </si>
  <si>
    <t>IVA % 8</t>
  </si>
  <si>
    <t>IVA % 9</t>
  </si>
  <si>
    <t>IVA % 10</t>
  </si>
  <si>
    <t>IVA % 11</t>
  </si>
  <si>
    <t>IVA % 12</t>
  </si>
  <si>
    <t xml:space="preserve"> tot riga 1</t>
  </si>
  <si>
    <t xml:space="preserve"> tot riga 2</t>
  </si>
  <si>
    <t xml:space="preserve"> tot riga 3</t>
  </si>
  <si>
    <t xml:space="preserve"> tot riga 4</t>
  </si>
  <si>
    <t xml:space="preserve"> tot riga 5</t>
  </si>
  <si>
    <t xml:space="preserve"> tot riga 6</t>
  </si>
  <si>
    <t xml:space="preserve"> tot riga 7</t>
  </si>
  <si>
    <t xml:space="preserve"> tot riga 8</t>
  </si>
  <si>
    <t xml:space="preserve"> tot riga 9</t>
  </si>
  <si>
    <t xml:space="preserve"> tot riga 10</t>
  </si>
  <si>
    <t xml:space="preserve"> tot riga 11</t>
  </si>
  <si>
    <t xml:space="preserve"> tot riga 12</t>
  </si>
  <si>
    <t>nota di credito 1</t>
  </si>
  <si>
    <t>nota di credito 2</t>
  </si>
  <si>
    <t>nota di credito 3</t>
  </si>
  <si>
    <t>nota di credito 4</t>
  </si>
  <si>
    <t>nota di credito 5</t>
  </si>
  <si>
    <t>nota di credito 6</t>
  </si>
  <si>
    <t>Appunti 1</t>
  </si>
  <si>
    <t>Appunti 2</t>
  </si>
  <si>
    <t>Appunti 3</t>
  </si>
  <si>
    <t>riferimento</t>
  </si>
  <si>
    <t>dettaglia pagamento 1</t>
  </si>
  <si>
    <t>dettaglia pagamento 2</t>
  </si>
  <si>
    <t>dettaglia pagamento 3</t>
  </si>
  <si>
    <t>IVA inc?</t>
  </si>
  <si>
    <t>Prodotto o servizio</t>
  </si>
  <si>
    <t>Nota di Credito n.:</t>
  </si>
  <si>
    <t>Relativa alla Fattura n.:</t>
  </si>
  <si>
    <t>del:</t>
  </si>
  <si>
    <t>Modalità di Rimborso</t>
  </si>
  <si>
    <t>Modalità di pagamento</t>
  </si>
  <si>
    <t>Pagare entro data</t>
  </si>
  <si>
    <t xml:space="preserve">+39 3441212123 </t>
  </si>
  <si>
    <t>contorllo doppioni</t>
  </si>
  <si>
    <t>C.A.P</t>
  </si>
  <si>
    <t>Numero di errori rilevati nel database</t>
  </si>
  <si>
    <t>Con la presente, accreditiamo i seguenti importi:</t>
  </si>
  <si>
    <t>data di emissione Nota</t>
  </si>
  <si>
    <t>Il rimborso sarà effettuato entro:</t>
  </si>
  <si>
    <t>IVA su Prodotti/Prestazioni Rimborso</t>
  </si>
  <si>
    <t>Max or not? (rimborso)</t>
  </si>
  <si>
    <t>Max IVA detraibile per fascia - Rimborso</t>
  </si>
  <si>
    <t>sconto tot:</t>
  </si>
  <si>
    <t>iva sconto Rimboros</t>
  </si>
  <si>
    <t>Fase 1</t>
  </si>
  <si>
    <t>Trovare la relativa fattura</t>
  </si>
  <si>
    <t>Data</t>
  </si>
  <si>
    <t>Anno</t>
  </si>
  <si>
    <t>Nota di Credito N</t>
  </si>
  <si>
    <t>relativa a fattura n</t>
  </si>
  <si>
    <t>Rimborso entro</t>
  </si>
  <si>
    <t>Credito Lordo</t>
  </si>
  <si>
    <t>IVA in €</t>
  </si>
  <si>
    <t>Credito Netto</t>
  </si>
  <si>
    <t>anno Fattura</t>
  </si>
  <si>
    <t>rif semplice Fattura</t>
  </si>
  <si>
    <t>Rif Semplice Nota di Credito</t>
  </si>
  <si>
    <t>Fase 2</t>
  </si>
  <si>
    <t>Modifica Manuale</t>
  </si>
  <si>
    <t>Specifica i rimborsi manualmente</t>
  </si>
  <si>
    <t>Fase 3</t>
  </si>
  <si>
    <t>N.P. IVA</t>
  </si>
  <si>
    <t>Cod.F.</t>
  </si>
  <si>
    <t>Coice fiscale cliente</t>
  </si>
  <si>
    <t>test</t>
  </si>
  <si>
    <t>massimo rimborsabile (al netto dell'iva)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</si>
</sst>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€&quot;* #,##0.00_);_(&quot;€&quot;* \(#,##0.00\);_(&quot;€&quot;* &quot;-&quot;??_);_(@_)"/>
    <numFmt numFmtId="165" formatCode="[$€-410]\ #,##0.00;\-[$€-410]\ #,##0.00"/>
    <numFmt numFmtId="166" formatCode="_-[$€-410]\ * #,##0.00_-;\-[$€-410]\ * #,##0.00_-;_-[$€-410]\ * &quot;-&quot;??_-;_-@_-"/>
    <numFmt numFmtId="167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8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22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14" fontId="0" fillId="0" borderId="1" xfId="0" applyNumberFormat="1" applyBorder="1"/>
    <xf numFmtId="0" fontId="0" fillId="3" borderId="0" xfId="0" applyFill="1"/>
    <xf numFmtId="49" fontId="0" fillId="3" borderId="0" xfId="0" applyNumberFormat="1" applyFill="1"/>
    <xf numFmtId="0" fontId="5" fillId="3" borderId="0" xfId="0" applyFont="1" applyFill="1"/>
    <xf numFmtId="0" fontId="6" fillId="0" borderId="1" xfId="0" applyFont="1" applyBorder="1" applyAlignment="1">
      <alignment horizontal="right"/>
    </xf>
    <xf numFmtId="0" fontId="4" fillId="0" borderId="1" xfId="0" applyFont="1" applyBorder="1"/>
    <xf numFmtId="0" fontId="1" fillId="0" borderId="0" xfId="0" applyFont="1"/>
    <xf numFmtId="0" fontId="0" fillId="0" borderId="0" xfId="0" quotePrefix="1"/>
    <xf numFmtId="0" fontId="0" fillId="0" borderId="0" xfId="0" applyBorder="1"/>
    <xf numFmtId="0" fontId="0" fillId="0" borderId="4" xfId="0" applyBorder="1"/>
    <xf numFmtId="9" fontId="0" fillId="0" borderId="0" xfId="1" applyFont="1" applyBorder="1"/>
    <xf numFmtId="49" fontId="0" fillId="0" borderId="2" xfId="0" applyNumberForma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0" fillId="0" borderId="0" xfId="0" applyFill="1" applyBorder="1"/>
    <xf numFmtId="9" fontId="0" fillId="0" borderId="0" xfId="0" applyNumberFormat="1"/>
    <xf numFmtId="165" fontId="0" fillId="0" borderId="3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3" fillId="0" borderId="1" xfId="2" applyBorder="1"/>
    <xf numFmtId="0" fontId="7" fillId="0" borderId="0" xfId="0" applyFont="1" applyAlignment="1"/>
    <xf numFmtId="165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8" fillId="0" borderId="0" xfId="0" applyFont="1"/>
    <xf numFmtId="49" fontId="8" fillId="0" borderId="0" xfId="0" applyNumberFormat="1" applyFont="1"/>
    <xf numFmtId="0" fontId="0" fillId="0" borderId="0" xfId="0" applyNumberFormat="1"/>
    <xf numFmtId="166" fontId="0" fillId="4" borderId="0" xfId="0" applyNumberFormat="1" applyFill="1" applyBorder="1"/>
    <xf numFmtId="166" fontId="0" fillId="0" borderId="0" xfId="0" applyNumberFormat="1"/>
    <xf numFmtId="0" fontId="10" fillId="6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0" fillId="0" borderId="0" xfId="0" applyFont="1" applyFill="1"/>
    <xf numFmtId="10" fontId="0" fillId="0" borderId="0" xfId="1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1" xfId="0" applyBorder="1" applyAlignment="1">
      <alignment horizontal="right"/>
    </xf>
    <xf numFmtId="49" fontId="0" fillId="0" borderId="0" xfId="0" applyNumberFormat="1" applyFill="1" applyBorder="1"/>
    <xf numFmtId="0" fontId="0" fillId="0" borderId="0" xfId="0" applyAlignment="1">
      <alignment wrapText="1"/>
    </xf>
    <xf numFmtId="0" fontId="4" fillId="0" borderId="0" xfId="0" applyFont="1" applyBorder="1"/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0" fillId="2" borderId="0" xfId="0" applyFill="1"/>
    <xf numFmtId="0" fontId="5" fillId="2" borderId="0" xfId="0" applyFont="1" applyFill="1" applyBorder="1"/>
    <xf numFmtId="0" fontId="0" fillId="2" borderId="0" xfId="0" applyFill="1" applyBorder="1"/>
    <xf numFmtId="49" fontId="0" fillId="2" borderId="0" xfId="0" applyNumberFormat="1" applyFill="1" applyBorder="1"/>
    <xf numFmtId="0" fontId="3" fillId="2" borderId="0" xfId="2" applyFill="1" applyBorder="1"/>
    <xf numFmtId="9" fontId="0" fillId="0" borderId="0" xfId="1" applyFont="1"/>
    <xf numFmtId="164" fontId="0" fillId="0" borderId="0" xfId="3" applyFont="1"/>
    <xf numFmtId="164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4" fontId="11" fillId="0" borderId="1" xfId="0" applyNumberFormat="1" applyFont="1" applyBorder="1"/>
    <xf numFmtId="49" fontId="0" fillId="2" borderId="0" xfId="0" applyNumberFormat="1" applyFill="1" applyBorder="1" applyAlignment="1">
      <alignment horizontal="left"/>
    </xf>
    <xf numFmtId="0" fontId="0" fillId="3" borderId="0" xfId="0" applyNumberFormat="1" applyFill="1"/>
    <xf numFmtId="0" fontId="0" fillId="0" borderId="2" xfId="0" applyNumberFormat="1" applyBorder="1"/>
    <xf numFmtId="0" fontId="0" fillId="0" borderId="0" xfId="0" applyFill="1"/>
    <xf numFmtId="0" fontId="0" fillId="0" borderId="2" xfId="0" applyNumberFormat="1" applyFill="1" applyBorder="1"/>
    <xf numFmtId="165" fontId="0" fillId="0" borderId="0" xfId="0" applyNumberFormat="1" applyFill="1" applyBorder="1"/>
    <xf numFmtId="9" fontId="0" fillId="0" borderId="0" xfId="1" applyFont="1" applyFill="1" applyBorder="1"/>
    <xf numFmtId="165" fontId="0" fillId="0" borderId="3" xfId="0" applyNumberFormat="1" applyFill="1" applyBorder="1"/>
    <xf numFmtId="165" fontId="0" fillId="0" borderId="4" xfId="0" applyNumberFormat="1" applyFill="1" applyBorder="1"/>
    <xf numFmtId="49" fontId="0" fillId="0" borderId="0" xfId="0" applyNumberFormat="1"/>
    <xf numFmtId="0" fontId="16" fillId="0" borderId="0" xfId="0" applyFont="1"/>
    <xf numFmtId="0" fontId="1" fillId="0" borderId="0" xfId="0" applyNumberFormat="1" applyFont="1" applyFill="1" applyBorder="1"/>
    <xf numFmtId="14" fontId="0" fillId="0" borderId="1" xfId="0" applyNumberFormat="1" applyFont="1" applyBorder="1"/>
    <xf numFmtId="0" fontId="1" fillId="0" borderId="1" xfId="0" applyNumberFormat="1" applyFont="1" applyBorder="1"/>
    <xf numFmtId="14" fontId="1" fillId="0" borderId="1" xfId="0" applyNumberFormat="1" applyFont="1" applyBorder="1"/>
    <xf numFmtId="0" fontId="18" fillId="0" borderId="0" xfId="0" applyFont="1" applyFill="1"/>
    <xf numFmtId="0" fontId="18" fillId="0" borderId="0" xfId="0" applyFont="1"/>
    <xf numFmtId="0" fontId="1" fillId="0" borderId="0" xfId="0" applyFont="1" applyFill="1"/>
    <xf numFmtId="165" fontId="1" fillId="0" borderId="0" xfId="0" applyNumberFormat="1" applyFont="1" applyFill="1" applyAlignment="1">
      <alignment horizontal="right"/>
    </xf>
    <xf numFmtId="167" fontId="18" fillId="0" borderId="0" xfId="3" applyNumberFormat="1" applyFont="1" applyFill="1" applyAlignment="1">
      <alignment horizontal="right"/>
    </xf>
    <xf numFmtId="0" fontId="1" fillId="0" borderId="8" xfId="0" applyFont="1" applyBorder="1"/>
    <xf numFmtId="165" fontId="1" fillId="0" borderId="9" xfId="0" applyNumberFormat="1" applyFont="1" applyBorder="1" applyAlignment="1">
      <alignment horizontal="right"/>
    </xf>
    <xf numFmtId="0" fontId="1" fillId="0" borderId="8" xfId="0" applyFont="1" applyFill="1" applyBorder="1"/>
    <xf numFmtId="0" fontId="1" fillId="0" borderId="10" xfId="0" applyFont="1" applyBorder="1"/>
    <xf numFmtId="165" fontId="1" fillId="0" borderId="9" xfId="0" applyNumberFormat="1" applyFont="1" applyFill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4" fontId="1" fillId="0" borderId="0" xfId="3" applyFont="1"/>
    <xf numFmtId="0" fontId="19" fillId="0" borderId="0" xfId="0" applyFont="1" applyAlignment="1"/>
    <xf numFmtId="2" fontId="1" fillId="0" borderId="0" xfId="0" applyNumberFormat="1" applyFont="1"/>
  </cellXfs>
  <cellStyles count="4">
    <cellStyle name="Collegamento ipertestuale" xfId="2" builtinId="8"/>
    <cellStyle name="Normale" xfId="0" builtinId="0"/>
    <cellStyle name="Percentuale" xfId="1" builtinId="5"/>
    <cellStyle name="Valuta" xfId="3" builtinId="4"/>
  </cellStyles>
  <dxfs count="9"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</xdr:row>
      <xdr:rowOff>171450</xdr:rowOff>
    </xdr:from>
    <xdr:to>
      <xdr:col>6</xdr:col>
      <xdr:colOff>567707</xdr:colOff>
      <xdr:row>6</xdr:row>
      <xdr:rowOff>152400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361950"/>
          <a:ext cx="1996457" cy="1085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</xdr:row>
          <xdr:rowOff>9525</xdr:rowOff>
        </xdr:from>
        <xdr:to>
          <xdr:col>11</xdr:col>
          <xdr:colOff>609600</xdr:colOff>
          <xdr:row>4</xdr:row>
          <xdr:rowOff>171450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0000"/>
                  </a:solidFill>
                  <a:latin typeface="Calibri"/>
                </a:rPr>
                <a:t>Emetti</a:t>
              </a:r>
            </a:p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0000"/>
                  </a:solidFill>
                  <a:latin typeface="Calibri"/>
                </a:rPr>
                <a:t>Fattura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7</xdr:row>
          <xdr:rowOff>57150</xdr:rowOff>
        </xdr:from>
        <xdr:to>
          <xdr:col>12</xdr:col>
          <xdr:colOff>9525</xdr:colOff>
          <xdr:row>8</xdr:row>
          <xdr:rowOff>352425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Applica Nuova tipologia di sconti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</xdr:row>
          <xdr:rowOff>9525</xdr:rowOff>
        </xdr:from>
        <xdr:to>
          <xdr:col>10</xdr:col>
          <xdr:colOff>0</xdr:colOff>
          <xdr:row>7</xdr:row>
          <xdr:rowOff>19050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0" i="1" u="none" strike="noStrike" baseline="0">
                  <a:solidFill>
                    <a:srgbClr val="000000"/>
                  </a:solidFill>
                  <a:latin typeface="Calibri"/>
                </a:rPr>
                <a:t>Stampa un Test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10</xdr:row>
          <xdr:rowOff>19050</xdr:rowOff>
        </xdr:from>
        <xdr:to>
          <xdr:col>15</xdr:col>
          <xdr:colOff>180975</xdr:colOff>
          <xdr:row>12</xdr:row>
          <xdr:rowOff>114300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Recupera una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fattura dal Database</a:t>
              </a:r>
            </a:p>
          </xdr:txBody>
        </xdr:sp>
        <xdr:clientData fPrintsWithSheet="0"/>
      </xdr:twoCellAnchor>
    </mc:Choice>
    <mc:Fallback/>
  </mc:AlternateContent>
  <xdr:oneCellAnchor>
    <xdr:from>
      <xdr:col>3</xdr:col>
      <xdr:colOff>209550</xdr:colOff>
      <xdr:row>1</xdr:row>
      <xdr:rowOff>38100</xdr:rowOff>
    </xdr:from>
    <xdr:ext cx="1996457" cy="1085850"/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228600"/>
          <a:ext cx="1996457" cy="10858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16</xdr:row>
          <xdr:rowOff>9525</xdr:rowOff>
        </xdr:from>
        <xdr:to>
          <xdr:col>15</xdr:col>
          <xdr:colOff>295275</xdr:colOff>
          <xdr:row>19</xdr:row>
          <xdr:rowOff>66675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Salva il Database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in csv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(beta)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10</xdr:row>
          <xdr:rowOff>28575</xdr:rowOff>
        </xdr:from>
        <xdr:to>
          <xdr:col>11</xdr:col>
          <xdr:colOff>438150</xdr:colOff>
          <xdr:row>15</xdr:row>
          <xdr:rowOff>57150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Esegui un Rimborso</a:t>
              </a:r>
            </a:p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(Nota di Credito)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</xdr:row>
      <xdr:rowOff>38100</xdr:rowOff>
    </xdr:from>
    <xdr:to>
      <xdr:col>6</xdr:col>
      <xdr:colOff>377207</xdr:colOff>
      <xdr:row>6</xdr:row>
      <xdr:rowOff>171450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228600"/>
          <a:ext cx="1996457" cy="1085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</xdr:row>
          <xdr:rowOff>19050</xdr:rowOff>
        </xdr:from>
        <xdr:to>
          <xdr:col>10</xdr:col>
          <xdr:colOff>542925</xdr:colOff>
          <xdr:row>9</xdr:row>
          <xdr:rowOff>238125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Esegui un Rimborso</a:t>
              </a:r>
            </a:p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(Nota di Credito)</a:t>
              </a:r>
            </a:p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Calibri"/>
                </a:rPr>
                <a:t>Fase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15</xdr:row>
          <xdr:rowOff>28575</xdr:rowOff>
        </xdr:from>
        <xdr:to>
          <xdr:col>10</xdr:col>
          <xdr:colOff>533400</xdr:colOff>
          <xdr:row>20</xdr:row>
          <xdr:rowOff>57150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Emetti il Rimborso</a:t>
              </a:r>
            </a:p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(Nota di Credito)</a:t>
              </a:r>
            </a:p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Calibri"/>
                </a:rPr>
                <a:t>Fase 3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0</xdr:row>
      <xdr:rowOff>171450</xdr:rowOff>
    </xdr:from>
    <xdr:ext cx="1996457" cy="1085850"/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71450"/>
          <a:ext cx="1996457" cy="1085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yz@xyz.i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xyz@xyz.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2:M47"/>
  <sheetViews>
    <sheetView tabSelected="1" view="pageLayout" zoomScaleNormal="100" workbookViewId="0">
      <selection activeCell="C2" sqref="C2"/>
    </sheetView>
  </sheetViews>
  <sheetFormatPr defaultRowHeight="15" x14ac:dyDescent="0.25"/>
  <cols>
    <col min="1" max="1" width="1.28515625" customWidth="1"/>
    <col min="2" max="2" width="38.7109375" customWidth="1"/>
    <col min="3" max="3" width="12.140625" customWidth="1"/>
    <col min="4" max="4" width="9" customWidth="1"/>
    <col min="5" max="5" width="5" customWidth="1"/>
    <col min="6" max="6" width="9.85546875" customWidth="1"/>
    <col min="7" max="7" width="12.5703125" customWidth="1"/>
    <col min="11" max="11" width="3.140625" customWidth="1"/>
    <col min="12" max="12" width="18.28515625" bestFit="1" customWidth="1"/>
  </cols>
  <sheetData>
    <row r="2" spans="2:13" ht="26.25" x14ac:dyDescent="0.4">
      <c r="B2" s="8" t="s">
        <v>18</v>
      </c>
      <c r="C2" s="9"/>
      <c r="D2" s="47"/>
      <c r="L2" s="41"/>
    </row>
    <row r="3" spans="2:13" x14ac:dyDescent="0.25">
      <c r="B3" s="3" t="s">
        <v>19</v>
      </c>
      <c r="C3" s="4">
        <f ca="1">TODAY()</f>
        <v>42941</v>
      </c>
      <c r="D3" s="48"/>
      <c r="L3" s="42"/>
    </row>
    <row r="4" spans="2:13" x14ac:dyDescent="0.25">
      <c r="B4" s="60" t="s">
        <v>165</v>
      </c>
      <c r="C4" s="61">
        <f ca="1">C3+90</f>
        <v>43031</v>
      </c>
      <c r="D4" s="48"/>
      <c r="L4" s="43"/>
      <c r="M4" t="s">
        <v>169</v>
      </c>
    </row>
    <row r="5" spans="2:13" x14ac:dyDescent="0.25">
      <c r="B5" s="3" t="s">
        <v>164</v>
      </c>
      <c r="C5" s="44" t="s">
        <v>20</v>
      </c>
      <c r="D5" s="49"/>
      <c r="M5">
        <f>COUNTIF(Archivio!DF:DF,"&gt;1")</f>
        <v>0</v>
      </c>
    </row>
    <row r="6" spans="2:13" ht="15.75" x14ac:dyDescent="0.25">
      <c r="L6" s="36" t="s">
        <v>72</v>
      </c>
    </row>
    <row r="7" spans="2:13" x14ac:dyDescent="0.25">
      <c r="B7" s="1" t="s">
        <v>0</v>
      </c>
      <c r="L7" s="37" t="s">
        <v>69</v>
      </c>
    </row>
    <row r="8" spans="2:13" ht="28.5" x14ac:dyDescent="0.45">
      <c r="B8" s="7" t="s">
        <v>1</v>
      </c>
    </row>
    <row r="9" spans="2:13" ht="28.5" x14ac:dyDescent="0.45">
      <c r="B9" s="5" t="s">
        <v>2</v>
      </c>
      <c r="D9" s="51" t="s">
        <v>10</v>
      </c>
      <c r="E9" s="52"/>
      <c r="F9" s="50"/>
    </row>
    <row r="10" spans="2:13" x14ac:dyDescent="0.25">
      <c r="B10" s="5" t="s">
        <v>3</v>
      </c>
      <c r="D10" s="52" t="s">
        <v>11</v>
      </c>
      <c r="E10" s="52"/>
      <c r="F10" s="50"/>
    </row>
    <row r="11" spans="2:13" x14ac:dyDescent="0.25">
      <c r="B11" s="5" t="s">
        <v>4</v>
      </c>
      <c r="D11" s="52" t="s">
        <v>12</v>
      </c>
      <c r="E11" s="52"/>
      <c r="F11" s="50"/>
    </row>
    <row r="12" spans="2:13" x14ac:dyDescent="0.25">
      <c r="B12" s="6" t="s">
        <v>168</v>
      </c>
      <c r="D12" s="53" t="s">
        <v>13</v>
      </c>
      <c r="E12" s="52"/>
      <c r="F12" s="50"/>
    </row>
    <row r="13" spans="2:13" x14ac:dyDescent="0.25">
      <c r="B13" s="5" t="s">
        <v>6</v>
      </c>
      <c r="D13" s="52" t="s">
        <v>14</v>
      </c>
      <c r="E13" s="52"/>
      <c r="F13" s="50"/>
    </row>
    <row r="14" spans="2:13" x14ac:dyDescent="0.25">
      <c r="B14" s="5" t="s">
        <v>7</v>
      </c>
      <c r="D14" s="52" t="s">
        <v>15</v>
      </c>
      <c r="E14" s="52"/>
      <c r="F14" s="50"/>
    </row>
    <row r="15" spans="2:13" x14ac:dyDescent="0.25">
      <c r="B15" s="6" t="s">
        <v>8</v>
      </c>
      <c r="D15" s="62" t="s">
        <v>166</v>
      </c>
      <c r="E15" s="52"/>
      <c r="F15" s="50"/>
    </row>
    <row r="16" spans="2:13" x14ac:dyDescent="0.25">
      <c r="B16" s="5" t="s">
        <v>9</v>
      </c>
      <c r="D16" s="54" t="s">
        <v>16</v>
      </c>
      <c r="E16" s="52"/>
      <c r="F16" s="50"/>
    </row>
    <row r="17" spans="2:7" x14ac:dyDescent="0.25">
      <c r="B17" s="6" t="s">
        <v>195</v>
      </c>
      <c r="D17" s="52" t="s">
        <v>17</v>
      </c>
      <c r="E17" s="52"/>
      <c r="F17" s="50"/>
    </row>
    <row r="18" spans="2:7" x14ac:dyDescent="0.25">
      <c r="B18" s="5" t="s">
        <v>196</v>
      </c>
    </row>
    <row r="19" spans="2:7" ht="15.75" thickBot="1" x14ac:dyDescent="0.3"/>
    <row r="20" spans="2:7" ht="15.75" thickBot="1" x14ac:dyDescent="0.3">
      <c r="B20" s="16" t="s">
        <v>29</v>
      </c>
      <c r="C20" s="17" t="str">
        <f>IF(COUNTBLANK(C21:C32)&lt;&gt;12,"Codice","")</f>
        <v/>
      </c>
      <c r="D20" s="17" t="str">
        <f>IF(B20="Prodotto","Prezzo U.","Prezzo")</f>
        <v>Prezzo</v>
      </c>
      <c r="E20" s="18" t="str">
        <f>IF(B20="Prodotto","Q","")</f>
        <v/>
      </c>
      <c r="F20" s="18" t="s">
        <v>27</v>
      </c>
      <c r="G20" s="19" t="s">
        <v>26</v>
      </c>
    </row>
    <row r="21" spans="2:7" x14ac:dyDescent="0.25">
      <c r="B21" s="64"/>
      <c r="D21" s="23"/>
      <c r="E21" s="12"/>
      <c r="F21" s="14"/>
      <c r="G21" s="22" t="str">
        <f>IF(B:B="","",(D:D*IF($B$20="Prodotto",E:E,1))+(D:D*IF($B$20="Prodotto",E:E,1)*IF($F$20="+ IVA%",F:F,0)))</f>
        <v/>
      </c>
    </row>
    <row r="22" spans="2:7" x14ac:dyDescent="0.25">
      <c r="B22" s="64"/>
      <c r="D22" s="23"/>
      <c r="E22" s="12"/>
      <c r="F22" s="14"/>
      <c r="G22" s="22" t="str">
        <f t="shared" ref="G22:G32" si="0">IF(B:B="","",(D:D*IF($B$20="Prodotto",E:E,1))+(D:D*IF($B$20="Prodotto",E:E,1)*IF($F$20="+ IVA%",F:F,0)))</f>
        <v/>
      </c>
    </row>
    <row r="23" spans="2:7" x14ac:dyDescent="0.25">
      <c r="B23" s="64"/>
      <c r="D23" s="23"/>
      <c r="E23" s="12"/>
      <c r="F23" s="14"/>
      <c r="G23" s="22" t="str">
        <f t="shared" si="0"/>
        <v/>
      </c>
    </row>
    <row r="24" spans="2:7" x14ac:dyDescent="0.25">
      <c r="B24" s="64"/>
      <c r="D24" s="23"/>
      <c r="E24" s="12"/>
      <c r="F24" s="14"/>
      <c r="G24" s="22" t="str">
        <f t="shared" si="0"/>
        <v/>
      </c>
    </row>
    <row r="25" spans="2:7" x14ac:dyDescent="0.25">
      <c r="B25" s="64"/>
      <c r="D25" s="23"/>
      <c r="E25" s="12"/>
      <c r="F25" s="14"/>
      <c r="G25" s="22" t="str">
        <f t="shared" si="0"/>
        <v/>
      </c>
    </row>
    <row r="26" spans="2:7" x14ac:dyDescent="0.25">
      <c r="B26" s="64"/>
      <c r="D26" s="23"/>
      <c r="E26" s="12"/>
      <c r="F26" s="14"/>
      <c r="G26" s="22" t="str">
        <f t="shared" si="0"/>
        <v/>
      </c>
    </row>
    <row r="27" spans="2:7" x14ac:dyDescent="0.25">
      <c r="B27" s="64"/>
      <c r="D27" s="23"/>
      <c r="E27" s="12"/>
      <c r="F27" s="14"/>
      <c r="G27" s="22" t="str">
        <f t="shared" si="0"/>
        <v/>
      </c>
    </row>
    <row r="28" spans="2:7" x14ac:dyDescent="0.25">
      <c r="B28" s="64"/>
      <c r="D28" s="23"/>
      <c r="E28" s="12"/>
      <c r="F28" s="14"/>
      <c r="G28" s="22" t="str">
        <f t="shared" si="0"/>
        <v/>
      </c>
    </row>
    <row r="29" spans="2:7" x14ac:dyDescent="0.25">
      <c r="B29" s="64"/>
      <c r="D29" s="23"/>
      <c r="E29" s="12"/>
      <c r="F29" s="14"/>
      <c r="G29" s="22" t="str">
        <f t="shared" si="0"/>
        <v/>
      </c>
    </row>
    <row r="30" spans="2:7" x14ac:dyDescent="0.25">
      <c r="B30" s="64"/>
      <c r="D30" s="23"/>
      <c r="E30" s="12"/>
      <c r="F30" s="14"/>
      <c r="G30" s="22" t="str">
        <f t="shared" si="0"/>
        <v/>
      </c>
    </row>
    <row r="31" spans="2:7" x14ac:dyDescent="0.25">
      <c r="B31" s="64"/>
      <c r="D31" s="23"/>
      <c r="E31" s="12"/>
      <c r="F31" s="14"/>
      <c r="G31" s="22" t="str">
        <f t="shared" si="0"/>
        <v/>
      </c>
    </row>
    <row r="32" spans="2:7" x14ac:dyDescent="0.25">
      <c r="B32" s="64"/>
      <c r="D32" s="23"/>
      <c r="E32" s="12"/>
      <c r="F32" s="14"/>
      <c r="G32" s="22" t="str">
        <f t="shared" si="0"/>
        <v/>
      </c>
    </row>
    <row r="34" spans="2:8" x14ac:dyDescent="0.25">
      <c r="B34" s="45"/>
      <c r="F34" s="38" t="s">
        <v>45</v>
      </c>
      <c r="G34" s="40">
        <f>SUM(G21:G32)</f>
        <v>0</v>
      </c>
    </row>
    <row r="35" spans="2:8" x14ac:dyDescent="0.25">
      <c r="B35" s="45"/>
      <c r="F35" s="38" t="s">
        <v>42</v>
      </c>
      <c r="G35" s="39">
        <v>0</v>
      </c>
    </row>
    <row r="36" spans="2:8" x14ac:dyDescent="0.25">
      <c r="B36" s="45"/>
      <c r="F36" s="38" t="s">
        <v>43</v>
      </c>
      <c r="G36" s="40">
        <v>0</v>
      </c>
    </row>
    <row r="37" spans="2:8" x14ac:dyDescent="0.25">
      <c r="B37" s="45"/>
      <c r="F37" s="82" t="s">
        <v>44</v>
      </c>
      <c r="G37" s="83">
        <f>IF(ROUND(G34-(G35*G34)-G36,2)&lt;0,"",ROUND(G34-(G35*G34)-G36,2))</f>
        <v>0</v>
      </c>
    </row>
    <row r="38" spans="2:8" x14ac:dyDescent="0.25">
      <c r="F38" s="78" t="s">
        <v>47</v>
      </c>
      <c r="G38" s="87">
        <f>IF(G37="","",ROUND(SUM(Menu!A21:A32)-Menu!A34,2))</f>
        <v>0</v>
      </c>
    </row>
    <row r="39" spans="2:8" x14ac:dyDescent="0.25">
      <c r="F39" s="10" t="s">
        <v>46</v>
      </c>
      <c r="G39" s="29">
        <f>IF(G37="","",G37-G38)</f>
        <v>0</v>
      </c>
      <c r="H39" s="25"/>
    </row>
    <row r="40" spans="2:8" x14ac:dyDescent="0.25">
      <c r="B40" s="10" t="str">
        <f>IF(AND(B42="",B43="",B44=""),"","Dettagli Pagamento tramite "&amp;C5)</f>
        <v>Dettagli Pagamento tramite PayPal</v>
      </c>
      <c r="D40" t="str">
        <f>IF(G36&gt;G34,"non puoi applicare questo sconto","")</f>
        <v/>
      </c>
    </row>
    <row r="41" spans="2:8" x14ac:dyDescent="0.25">
      <c r="B41" t="str">
        <f>IF(B40="","","Riferimento pagamento:  Fattura n. "&amp;C2)</f>
        <v xml:space="preserve">Riferimento pagamento:  Fattura n. </v>
      </c>
    </row>
    <row r="42" spans="2:8" x14ac:dyDescent="0.25">
      <c r="B42" t="str">
        <f>IF(INDEX(Menu!B2:B5,MATCH(Fattura!$C$5,Menu!$A$2:$A$5,0))=0,"",INDEX(Menu!B2:B5,MATCH(Fattura!$C$5,Menu!$A$2:$A$5,0)))</f>
        <v>Pagare l'ammontare dovuto a email:</v>
      </c>
    </row>
    <row r="43" spans="2:8" x14ac:dyDescent="0.25">
      <c r="B43" t="str">
        <f>IF(INDEX(Menu!C2:C5,MATCH(Fattura!$C$5,Menu!$A$2:$A$5,0))=0,"",INDEX(Menu!C2:C5,MATCH(Fattura!$C$5,Menu!$A$2:$A$5,0)))</f>
        <v>xyz@xyz.it</v>
      </c>
    </row>
    <row r="44" spans="2:8" x14ac:dyDescent="0.25">
      <c r="B44" t="str">
        <f>IF(INDEX(Menu!D2:D5,MATCH(Fattura!$C$5,Menu!$A$2:$A$5,0))=0,"",INDEX(Menu!D2:D5,MATCH(Fattura!$C$5,Menu!$A$2:$A$5,0)))</f>
        <v/>
      </c>
    </row>
    <row r="45" spans="2:8" ht="29.25" customHeight="1" x14ac:dyDescent="0.55000000000000004">
      <c r="B45" s="89" t="s">
        <v>54</v>
      </c>
      <c r="C45" s="28"/>
      <c r="D45" s="28"/>
      <c r="E45" s="28"/>
      <c r="F45" s="28"/>
      <c r="G45" s="28"/>
      <c r="H45" s="28"/>
    </row>
    <row r="46" spans="2:8" x14ac:dyDescent="0.25">
      <c r="C46" s="31" t="s">
        <v>55</v>
      </c>
      <c r="D46" s="31"/>
    </row>
    <row r="47" spans="2:8" x14ac:dyDescent="0.25">
      <c r="C47" s="32" t="str">
        <f>D15</f>
        <v xml:space="preserve">+39 3441212123 </v>
      </c>
      <c r="D47" s="32"/>
    </row>
  </sheetData>
  <conditionalFormatting sqref="E32">
    <cfRule type="notContainsBlanks" dxfId="8" priority="8">
      <formula>LEN(TRIM(E32))&gt;0</formula>
    </cfRule>
  </conditionalFormatting>
  <conditionalFormatting sqref="B33:G33">
    <cfRule type="containsBlanks" dxfId="7" priority="4">
      <formula>LEN(TRIM(B33))=0</formula>
    </cfRule>
  </conditionalFormatting>
  <conditionalFormatting sqref="E21:E32">
    <cfRule type="expression" dxfId="6" priority="3">
      <formula>$E$20&lt;&gt;"Q"</formula>
    </cfRule>
  </conditionalFormatting>
  <dataValidations count="3">
    <dataValidation type="whole" operator="greaterThan" allowBlank="1" showInputMessage="1" showErrorMessage="1" sqref="L3 E21:E32 C2">
      <formula1>0</formula1>
    </dataValidation>
    <dataValidation type="decimal" operator="greaterThan" allowBlank="1" showInputMessage="1" showErrorMessage="1" sqref="D21:D32">
      <formula1>0</formula1>
    </dataValidation>
    <dataValidation type="date" operator="greaterThan" allowBlank="1" showInputMessage="1" showErrorMessage="1" sqref="C3">
      <formula1>42005</formula1>
    </dataValidation>
  </dataValidations>
  <hyperlinks>
    <hyperlink ref="D16" r:id="rId1"/>
  </hyperlinks>
  <pageMargins left="0.55208333333333337" right="0.72916666666666663" top="0.63541666666666663" bottom="0.67708333333333337" header="0.15625" footer="0.3"/>
  <pageSetup paperSize="9" orientation="portrait" r:id="rId2"/>
  <headerFooter>
    <oddHeader>&amp;RData: &amp;D
Ora: &amp;T</oddHeader>
    <oddFooter>&amp;C&amp;P&amp;R&amp;"-,Corsivo"&amp;8v1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Stampa_e_Archivia">
                <anchor moveWithCells="1" sizeWithCells="1">
                  <from>
                    <xdr:col>8</xdr:col>
                    <xdr:colOff>9525</xdr:colOff>
                    <xdr:row>1</xdr:row>
                    <xdr:rowOff>9525</xdr:rowOff>
                  </from>
                  <to>
                    <xdr:col>11</xdr:col>
                    <xdr:colOff>609600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Sconti">
                <anchor moveWithCells="1" sizeWithCells="1">
                  <from>
                    <xdr:col>11</xdr:col>
                    <xdr:colOff>19050</xdr:colOff>
                    <xdr:row>7</xdr:row>
                    <xdr:rowOff>57150</xdr:rowOff>
                  </from>
                  <to>
                    <xdr:col>12</xdr:col>
                    <xdr:colOff>9525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FatturaTest">
                <anchor moveWithCells="1" siz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10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Recupero">
                <anchor moveWithCells="1" sizeWithCells="1">
                  <from>
                    <xdr:col>13</xdr:col>
                    <xdr:colOff>38100</xdr:colOff>
                    <xdr:row>10</xdr:row>
                    <xdr:rowOff>19050</xdr:rowOff>
                  </from>
                  <to>
                    <xdr:col>15</xdr:col>
                    <xdr:colOff>180975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[0]!SalvaDB">
                <anchor moveWithCells="1" sizeWithCells="1">
                  <from>
                    <xdr:col>13</xdr:col>
                    <xdr:colOff>19050</xdr:colOff>
                    <xdr:row>16</xdr:row>
                    <xdr:rowOff>9525</xdr:rowOff>
                  </from>
                  <to>
                    <xdr:col>15</xdr:col>
                    <xdr:colOff>295275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Button 26">
              <controlPr defaultSize="0" print="0" autoFill="0" autoPict="0" macro="[0]!Nota_di_Credito">
                <anchor moveWithCells="1" sizeWithCells="1">
                  <from>
                    <xdr:col>8</xdr:col>
                    <xdr:colOff>38100</xdr:colOff>
                    <xdr:row>10</xdr:row>
                    <xdr:rowOff>28575</xdr:rowOff>
                  </from>
                  <to>
                    <xdr:col>11</xdr:col>
                    <xdr:colOff>438150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Menu!$A$2:$A$5</xm:f>
          </x14:formula1>
          <xm:sqref>C5:D5</xm:sqref>
        </x14:dataValidation>
        <x14:dataValidation type="list" allowBlank="1" showInputMessage="1" showErrorMessage="1">
          <x14:formula1>
            <xm:f>Menu!$E$1:$E$2</xm:f>
          </x14:formula1>
          <xm:sqref>F20</xm:sqref>
        </x14:dataValidation>
        <x14:dataValidation type="list" allowBlank="1" showInputMessage="1" showErrorMessage="1">
          <x14:formula1>
            <xm:f>Menu!$F$1:$F$2</xm:f>
          </x14:formula1>
          <xm:sqref>B20</xm:sqref>
        </x14:dataValidation>
        <x14:dataValidation type="list" errorStyle="information" operator="greaterThan" allowBlank="1" showInputMessage="1" showErrorMessage="1" errorTitle="Vallore d'IVA non dichiarato" error="Sei sicuro che sia la percentuale corretta??">
          <x14:formula1>
            <xm:f>Menu!$G$2:$G$4</xm:f>
          </x14:formula1>
          <xm:sqref>F21:F32</xm:sqref>
        </x14:dataValidation>
        <x14:dataValidation type="list" allowBlank="1" showInputMessage="1" showErrorMessage="1">
          <x14:formula1>
            <xm:f>Menu!$I$2:$I$5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/>
  <dimension ref="B2:M45"/>
  <sheetViews>
    <sheetView topLeftCell="A13" zoomScaleNormal="100" workbookViewId="0">
      <selection activeCell="G34" sqref="G34"/>
    </sheetView>
  </sheetViews>
  <sheetFormatPr defaultRowHeight="15" x14ac:dyDescent="0.25"/>
  <cols>
    <col min="1" max="1" width="1.28515625" customWidth="1"/>
    <col min="2" max="2" width="38.7109375" customWidth="1"/>
    <col min="3" max="3" width="12.140625" customWidth="1"/>
    <col min="4" max="4" width="9" customWidth="1"/>
    <col min="5" max="5" width="5" customWidth="1"/>
    <col min="6" max="6" width="9.85546875" customWidth="1"/>
    <col min="7" max="7" width="12.5703125" customWidth="1"/>
    <col min="9" max="9" width="11.5703125" bestFit="1" customWidth="1"/>
  </cols>
  <sheetData>
    <row r="2" spans="2:13" ht="26.25" x14ac:dyDescent="0.4">
      <c r="B2" s="8" t="s">
        <v>160</v>
      </c>
      <c r="C2" s="9"/>
      <c r="D2" s="47"/>
      <c r="I2" s="88">
        <v>24.59</v>
      </c>
      <c r="J2" s="10" t="s">
        <v>199</v>
      </c>
    </row>
    <row r="3" spans="2:13" ht="15" customHeight="1" x14ac:dyDescent="0.25">
      <c r="B3" s="59" t="s">
        <v>171</v>
      </c>
      <c r="C3" s="74">
        <f ca="1">TODAY()</f>
        <v>42941</v>
      </c>
      <c r="D3" s="48"/>
      <c r="I3" s="90"/>
      <c r="J3" s="10"/>
    </row>
    <row r="4" spans="2:13" x14ac:dyDescent="0.25">
      <c r="B4" s="3" t="s">
        <v>161</v>
      </c>
      <c r="C4" s="75"/>
      <c r="D4" s="48"/>
    </row>
    <row r="5" spans="2:13" x14ac:dyDescent="0.25">
      <c r="B5" s="3" t="s">
        <v>162</v>
      </c>
      <c r="C5" s="76"/>
      <c r="D5" s="49"/>
    </row>
    <row r="6" spans="2:13" x14ac:dyDescent="0.25">
      <c r="B6" s="44" t="s">
        <v>172</v>
      </c>
      <c r="C6" s="4">
        <f ca="1">C3+7</f>
        <v>42948</v>
      </c>
    </row>
    <row r="7" spans="2:13" x14ac:dyDescent="0.25">
      <c r="B7" s="59" t="s">
        <v>163</v>
      </c>
      <c r="C7" s="44" t="s">
        <v>20</v>
      </c>
      <c r="L7" t="s">
        <v>178</v>
      </c>
      <c r="M7" t="s">
        <v>179</v>
      </c>
    </row>
    <row r="9" spans="2:13" x14ac:dyDescent="0.25">
      <c r="B9" s="1" t="s">
        <v>0</v>
      </c>
    </row>
    <row r="10" spans="2:13" ht="28.5" x14ac:dyDescent="0.45">
      <c r="B10" s="7" t="s">
        <v>1</v>
      </c>
      <c r="D10" s="51" t="str">
        <f>Fattura!D9</f>
        <v>Azienda XYZ</v>
      </c>
      <c r="E10" s="52"/>
      <c r="F10" s="50"/>
    </row>
    <row r="11" spans="2:13" x14ac:dyDescent="0.25">
      <c r="B11" s="5" t="s">
        <v>2</v>
      </c>
      <c r="D11" s="52" t="str">
        <f>Fattura!D10</f>
        <v>via Italia 100</v>
      </c>
      <c r="E11" s="52"/>
      <c r="F11" s="50"/>
    </row>
    <row r="12" spans="2:13" x14ac:dyDescent="0.25">
      <c r="B12" s="5" t="s">
        <v>3</v>
      </c>
      <c r="D12" s="52" t="str">
        <f>Fattura!D11</f>
        <v>Roma</v>
      </c>
      <c r="E12" s="52"/>
      <c r="F12" s="50"/>
      <c r="I12" t="s">
        <v>191</v>
      </c>
      <c r="J12" t="s">
        <v>192</v>
      </c>
    </row>
    <row r="13" spans="2:13" x14ac:dyDescent="0.25">
      <c r="B13" s="5" t="s">
        <v>4</v>
      </c>
      <c r="D13" s="52" t="str">
        <f>Fattura!D12</f>
        <v>00001</v>
      </c>
      <c r="E13" s="52"/>
      <c r="F13" s="50"/>
      <c r="J13" t="s">
        <v>193</v>
      </c>
    </row>
    <row r="14" spans="2:13" x14ac:dyDescent="0.25">
      <c r="B14" s="6" t="s">
        <v>168</v>
      </c>
      <c r="D14" s="52" t="str">
        <f>Fattura!D13</f>
        <v>RM</v>
      </c>
      <c r="E14" s="52"/>
      <c r="F14" s="50"/>
    </row>
    <row r="15" spans="2:13" x14ac:dyDescent="0.25">
      <c r="B15" s="5" t="s">
        <v>6</v>
      </c>
      <c r="D15" s="52" t="str">
        <f>Fattura!D14</f>
        <v>Italia</v>
      </c>
      <c r="E15" s="52"/>
      <c r="F15" s="50"/>
    </row>
    <row r="16" spans="2:13" x14ac:dyDescent="0.25">
      <c r="B16" s="5" t="s">
        <v>7</v>
      </c>
      <c r="D16" s="52" t="str">
        <f>Fattura!D15</f>
        <v xml:space="preserve">+39 3441212123 </v>
      </c>
      <c r="E16" s="52"/>
      <c r="F16" s="50"/>
      <c r="L16" t="s">
        <v>194</v>
      </c>
    </row>
    <row r="17" spans="2:7" x14ac:dyDescent="0.25">
      <c r="B17" s="6" t="s">
        <v>8</v>
      </c>
      <c r="D17" s="52" t="str">
        <f>Fattura!D16</f>
        <v>xyz@xyz.it</v>
      </c>
      <c r="E17" s="52"/>
      <c r="F17" s="50"/>
    </row>
    <row r="18" spans="2:7" x14ac:dyDescent="0.25">
      <c r="B18" s="5" t="s">
        <v>9</v>
      </c>
      <c r="D18" s="52" t="str">
        <f>Fattura!D17</f>
        <v>P.IVA 00091270028</v>
      </c>
      <c r="E18" s="52"/>
      <c r="F18" s="50"/>
    </row>
    <row r="19" spans="2:7" x14ac:dyDescent="0.25">
      <c r="B19" s="6" t="s">
        <v>195</v>
      </c>
    </row>
    <row r="20" spans="2:7" x14ac:dyDescent="0.25">
      <c r="B20" s="5"/>
    </row>
    <row r="21" spans="2:7" ht="16.5" thickBot="1" x14ac:dyDescent="0.3">
      <c r="B21" s="72" t="s">
        <v>170</v>
      </c>
    </row>
    <row r="22" spans="2:7" ht="15.75" thickBot="1" x14ac:dyDescent="0.3">
      <c r="B22" s="16" t="s">
        <v>29</v>
      </c>
      <c r="C22" s="17" t="str">
        <f>IF(COUNTBLANK(C23:C34)&lt;&gt;12,"Codice","")</f>
        <v/>
      </c>
      <c r="D22" s="17" t="str">
        <f>IF(B22="Prodotto","Prezzo U.","Prezzo")</f>
        <v>Prezzo</v>
      </c>
      <c r="E22" s="18" t="str">
        <f>IF(B22="Prodotto","Q","")</f>
        <v/>
      </c>
      <c r="F22" s="18" t="s">
        <v>27</v>
      </c>
      <c r="G22" s="19" t="s">
        <v>26</v>
      </c>
    </row>
    <row r="23" spans="2:7" x14ac:dyDescent="0.25">
      <c r="B23" s="15" t="s">
        <v>198</v>
      </c>
      <c r="D23" s="23">
        <v>30</v>
      </c>
      <c r="E23" s="12"/>
      <c r="F23" s="14">
        <v>0.22</v>
      </c>
      <c r="G23" s="22">
        <f>IF(B:B="","",(D:D*IF($B$22="Prodotto",E:E,1))+(D:D*IF($B$22="Prodotto",E:E,1)*IF($F$22="+ IVA%",F:F,0)))</f>
        <v>30</v>
      </c>
    </row>
    <row r="24" spans="2:7" x14ac:dyDescent="0.25">
      <c r="B24" s="15"/>
      <c r="D24" s="23"/>
      <c r="E24" s="12"/>
      <c r="F24" s="14"/>
      <c r="G24" s="22" t="str">
        <f t="shared" ref="G24:G34" si="0">IF(B:B="","",(D:D*IF($B$22="Prodotto",E:E,1))+(D:D*IF($B$22="Prodotto",E:E,1)*IF($F$22="+ IVA%",F:F,0)))</f>
        <v/>
      </c>
    </row>
    <row r="25" spans="2:7" x14ac:dyDescent="0.25">
      <c r="B25" s="15"/>
      <c r="D25" s="23"/>
      <c r="E25" s="12"/>
      <c r="F25" s="14"/>
      <c r="G25" s="22" t="str">
        <f t="shared" si="0"/>
        <v/>
      </c>
    </row>
    <row r="26" spans="2:7" x14ac:dyDescent="0.25">
      <c r="B26" s="15"/>
      <c r="D26" s="23"/>
      <c r="E26" s="20"/>
      <c r="F26" s="14"/>
      <c r="G26" s="22" t="str">
        <f t="shared" si="0"/>
        <v/>
      </c>
    </row>
    <row r="27" spans="2:7" x14ac:dyDescent="0.25">
      <c r="B27" s="15"/>
      <c r="D27" s="23"/>
      <c r="E27" s="20"/>
      <c r="F27" s="14"/>
      <c r="G27" s="22" t="str">
        <f t="shared" si="0"/>
        <v/>
      </c>
    </row>
    <row r="28" spans="2:7" x14ac:dyDescent="0.25">
      <c r="B28" s="15"/>
      <c r="D28" s="23"/>
      <c r="E28" s="20"/>
      <c r="F28" s="14"/>
      <c r="G28" s="22" t="str">
        <f t="shared" si="0"/>
        <v/>
      </c>
    </row>
    <row r="29" spans="2:7" x14ac:dyDescent="0.25">
      <c r="B29" s="15"/>
      <c r="D29" s="23"/>
      <c r="E29" s="20"/>
      <c r="F29" s="14"/>
      <c r="G29" s="22" t="str">
        <f t="shared" si="0"/>
        <v/>
      </c>
    </row>
    <row r="30" spans="2:7" x14ac:dyDescent="0.25">
      <c r="B30" s="15"/>
      <c r="D30" s="23"/>
      <c r="E30" s="20"/>
      <c r="F30" s="14"/>
      <c r="G30" s="22" t="str">
        <f t="shared" si="0"/>
        <v/>
      </c>
    </row>
    <row r="31" spans="2:7" x14ac:dyDescent="0.25">
      <c r="B31" s="15"/>
      <c r="D31" s="23"/>
      <c r="E31" s="20"/>
      <c r="F31" s="14"/>
      <c r="G31" s="22" t="str">
        <f t="shared" si="0"/>
        <v/>
      </c>
    </row>
    <row r="32" spans="2:7" x14ac:dyDescent="0.25">
      <c r="B32" s="15"/>
      <c r="D32" s="23"/>
      <c r="E32" s="20"/>
      <c r="F32" s="14"/>
      <c r="G32" s="22" t="str">
        <f t="shared" si="0"/>
        <v/>
      </c>
    </row>
    <row r="33" spans="2:7" x14ac:dyDescent="0.25">
      <c r="B33" s="15"/>
      <c r="D33" s="23"/>
      <c r="E33" s="20"/>
      <c r="F33" s="14"/>
      <c r="G33" s="22" t="str">
        <f t="shared" si="0"/>
        <v/>
      </c>
    </row>
    <row r="34" spans="2:7" x14ac:dyDescent="0.25">
      <c r="B34" s="15"/>
      <c r="D34" s="24"/>
      <c r="E34" s="13"/>
      <c r="F34" s="14"/>
      <c r="G34" s="22" t="str">
        <f t="shared" si="0"/>
        <v/>
      </c>
    </row>
    <row r="36" spans="2:7" x14ac:dyDescent="0.25">
      <c r="B36" s="73" t="str">
        <f>"L'importo di "&amp;G36&amp;"€"</f>
        <v>L'importo di 30€</v>
      </c>
      <c r="E36" s="84" t="s">
        <v>185</v>
      </c>
      <c r="F36" s="85"/>
      <c r="G36" s="86">
        <f>ROUND(SUM(G23:G34),2)</f>
        <v>30</v>
      </c>
    </row>
    <row r="37" spans="2:7" x14ac:dyDescent="0.25">
      <c r="B37" s="38" t="str">
        <f ca="1">"sarà accreditato entro data "&amp;DAY(C6)&amp;"/"&amp;MONTH(C6)&amp;"/"&amp;YEAR(C6)</f>
        <v>sarà accreditato entro data 1/8/2017</v>
      </c>
      <c r="E37" s="77" t="s">
        <v>186</v>
      </c>
      <c r="F37" s="78"/>
      <c r="G37" s="81">
        <f>ROUND(SUM(Menu!C23:C33),2)</f>
        <v>5.41</v>
      </c>
    </row>
    <row r="38" spans="2:7" x14ac:dyDescent="0.25">
      <c r="B38" s="65" t="str">
        <f>"tramite "&amp;C7</f>
        <v>tramite PayPal</v>
      </c>
      <c r="E38" s="79" t="s">
        <v>187</v>
      </c>
      <c r="F38" s="10"/>
      <c r="G38" s="80">
        <f>G36-G37</f>
        <v>24.59</v>
      </c>
    </row>
    <row r="39" spans="2:7" x14ac:dyDescent="0.25">
      <c r="B39" s="65"/>
      <c r="D39" t="str">
        <f>IF(G38&gt;G36,"non puoi applicare questo sconto","")</f>
        <v/>
      </c>
      <c r="E39" s="10"/>
      <c r="G39" s="29"/>
    </row>
    <row r="40" spans="2:7" x14ac:dyDescent="0.25">
      <c r="B40" s="65"/>
      <c r="G40" s="30"/>
    </row>
    <row r="41" spans="2:7" x14ac:dyDescent="0.25">
      <c r="B41" s="65"/>
      <c r="E41" s="10"/>
      <c r="G41" s="29"/>
    </row>
    <row r="42" spans="2:7" ht="36" x14ac:dyDescent="0.55000000000000004">
      <c r="B42" s="28" t="s">
        <v>54</v>
      </c>
      <c r="C42" s="28"/>
    </row>
    <row r="43" spans="2:7" x14ac:dyDescent="0.25">
      <c r="C43" s="31" t="s">
        <v>55</v>
      </c>
    </row>
    <row r="44" spans="2:7" x14ac:dyDescent="0.25">
      <c r="C44" s="31" t="str">
        <f>D16</f>
        <v xml:space="preserve">+39 3441212123 </v>
      </c>
      <c r="D44" s="31"/>
    </row>
    <row r="45" spans="2:7" x14ac:dyDescent="0.25">
      <c r="D45" s="32"/>
    </row>
  </sheetData>
  <conditionalFormatting sqref="D34:E34">
    <cfRule type="notContainsBlanks" dxfId="5" priority="3">
      <formula>LEN(TRIM(D34))&gt;0</formula>
    </cfRule>
  </conditionalFormatting>
  <conditionalFormatting sqref="B35:G35">
    <cfRule type="containsBlanks" dxfId="4" priority="2">
      <formula>LEN(TRIM(B35))=0</formula>
    </cfRule>
  </conditionalFormatting>
  <conditionalFormatting sqref="E23:E34">
    <cfRule type="expression" dxfId="3" priority="1">
      <formula>$E$22&lt;&gt;"Q"</formula>
    </cfRule>
  </conditionalFormatting>
  <dataValidations count="5">
    <dataValidation type="decimal" operator="greaterThan" allowBlank="1" showInputMessage="1" showErrorMessage="1" sqref="D23:D34">
      <formula1>0</formula1>
    </dataValidation>
    <dataValidation type="whole" operator="greaterThan" allowBlank="1" showInputMessage="1" showErrorMessage="1" sqref="E23:E34 C2">
      <formula1>0</formula1>
    </dataValidation>
    <dataValidation type="decimal" operator="equal" allowBlank="1" showInputMessage="1" showErrorMessage="1" sqref="I2">
      <formula1>I2</formula1>
    </dataValidation>
    <dataValidation type="whole" operator="equal" allowBlank="1" showInputMessage="1" showErrorMessage="1" sqref="C4">
      <formula1>1</formula1>
    </dataValidation>
    <dataValidation type="date" operator="equal" allowBlank="1" showInputMessage="1" showErrorMessage="1" sqref="C5">
      <formula1>42941</formula1>
    </dataValidation>
  </dataValidations>
  <pageMargins left="0.58333333333333337" right="0.61458333333333337" top="0.75" bottom="0.75" header="0.3" footer="0.3"/>
  <pageSetup paperSize="9" orientation="portrait" r:id="rId1"/>
  <headerFooter>
    <oddHeader>&amp;RData: &amp;D
Ora: &amp;T</oddHeader>
    <oddFooter>&amp;C&amp;P&amp;R&amp;"-,Corsivo"&amp;9v1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ota_di_Credito">
                <anchor moveWithCells="1" sizeWithCells="1">
                  <from>
                    <xdr:col>8</xdr:col>
                    <xdr:colOff>38100</xdr:colOff>
                    <xdr:row>5</xdr:row>
                    <xdr:rowOff>19050</xdr:rowOff>
                  </from>
                  <to>
                    <xdr:col>10</xdr:col>
                    <xdr:colOff>542925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emissione_rimborso">
                <anchor moveWithCells="1" sizeWithCells="1">
                  <from>
                    <xdr:col>8</xdr:col>
                    <xdr:colOff>28575</xdr:colOff>
                    <xdr:row>15</xdr:row>
                    <xdr:rowOff>28575</xdr:rowOff>
                  </from>
                  <to>
                    <xdr:col>10</xdr:col>
                    <xdr:colOff>533400</xdr:colOff>
                    <xdr:row>20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operator="greaterThan" allowBlank="1" showInputMessage="1" showErrorMessage="1" errorTitle="Vallore d'IVA non dichiarato" error="Sei sicuro che sia la percentuale corretta??">
          <x14:formula1>
            <xm:f>Menu!$G$2:$G$4</xm:f>
          </x14:formula1>
          <xm:sqref>F23:F34</xm:sqref>
        </x14:dataValidation>
        <x14:dataValidation type="list" allowBlank="1" showInputMessage="1" showErrorMessage="1">
          <x14:formula1>
            <xm:f>Menu!$F$1:$F$2</xm:f>
          </x14:formula1>
          <xm:sqref>B22</xm:sqref>
        </x14:dataValidation>
        <x14:dataValidation type="list" allowBlank="1" showInputMessage="1" showErrorMessage="1">
          <x14:formula1>
            <xm:f>Menu!$E$1:$E$2</xm:f>
          </x14:formula1>
          <xm:sqref>F22</xm:sqref>
        </x14:dataValidation>
        <x14:dataValidation type="list" allowBlank="1" showInputMessage="1" showErrorMessage="1">
          <x14:formula1>
            <xm:f>Menu!$A$2:$A$5</xm:f>
          </x14:formula1>
          <xm:sqref>D5 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B1:K45"/>
  <sheetViews>
    <sheetView view="pageLayout" topLeftCell="A16" zoomScaleNormal="100" workbookViewId="0">
      <selection activeCell="G31" sqref="G31"/>
    </sheetView>
  </sheetViews>
  <sheetFormatPr defaultRowHeight="15" x14ac:dyDescent="0.25"/>
  <cols>
    <col min="1" max="1" width="1.28515625" customWidth="1"/>
    <col min="2" max="2" width="38.7109375" customWidth="1"/>
    <col min="3" max="3" width="12.140625" customWidth="1"/>
    <col min="4" max="4" width="9" customWidth="1"/>
    <col min="5" max="5" width="5" customWidth="1"/>
    <col min="6" max="6" width="9.85546875" customWidth="1"/>
    <col min="7" max="7" width="12.5703125" customWidth="1"/>
    <col min="10" max="10" width="11.7109375" bestFit="1" customWidth="1"/>
  </cols>
  <sheetData>
    <row r="1" spans="2:11" x14ac:dyDescent="0.25">
      <c r="K1" s="71"/>
    </row>
    <row r="2" spans="2:11" ht="26.25" x14ac:dyDescent="0.4">
      <c r="B2" s="8" t="s">
        <v>18</v>
      </c>
      <c r="C2" s="9"/>
      <c r="D2" s="47"/>
    </row>
    <row r="3" spans="2:11" x14ac:dyDescent="0.25">
      <c r="B3" s="3" t="s">
        <v>19</v>
      </c>
      <c r="C3" s="4"/>
      <c r="D3" s="48"/>
    </row>
    <row r="4" spans="2:11" x14ac:dyDescent="0.25">
      <c r="B4" s="60" t="s">
        <v>165</v>
      </c>
      <c r="C4" s="61" t="e">
        <f>INDEX(Archivio!D:D,MATCH(C2&amp;"-"&amp;YEAR(C3),Archivio!DE:DE,0))</f>
        <v>#N/A</v>
      </c>
      <c r="D4" s="48"/>
    </row>
    <row r="5" spans="2:11" x14ac:dyDescent="0.25">
      <c r="B5" s="3" t="s">
        <v>164</v>
      </c>
      <c r="C5" s="44" t="e">
        <f>INDEX(Archivio!E:E,MATCH(C2&amp;"-"&amp;YEAR(C3),Archivio!DE:DE,0))</f>
        <v>#N/A</v>
      </c>
      <c r="D5" s="49"/>
    </row>
    <row r="7" spans="2:11" x14ac:dyDescent="0.25">
      <c r="B7" s="1" t="s">
        <v>0</v>
      </c>
    </row>
    <row r="8" spans="2:11" ht="28.5" x14ac:dyDescent="0.45">
      <c r="B8" s="7" t="e">
        <f>INDEX(Archivio!F:F,MATCH(C2&amp;"-"&amp;YEAR(C3),Archivio!DE:DE,0))</f>
        <v>#N/A</v>
      </c>
    </row>
    <row r="9" spans="2:11" ht="28.5" x14ac:dyDescent="0.45">
      <c r="B9" s="5" t="e">
        <f>INDEX(Archivio!G:G,MATCH(C2&amp;"-"&amp;YEAR(C3),Archivio!DE:DE,0))</f>
        <v>#N/A</v>
      </c>
      <c r="D9" s="51" t="str">
        <f>Fattura!D9</f>
        <v>Azienda XYZ</v>
      </c>
      <c r="E9" s="52"/>
      <c r="F9" s="50"/>
    </row>
    <row r="10" spans="2:11" x14ac:dyDescent="0.25">
      <c r="B10" s="5" t="e">
        <f>IF(INDEX(Archivio!H:H,MATCH(C2&amp;"-"&amp;YEAR(C3),Archivio!DE:DE,0))=0,"",INDEX(Archivio!H:H,MATCH(C2&amp;"-"&amp;YEAR(C3),Archivio!DE:DE,0)))</f>
        <v>#N/A</v>
      </c>
      <c r="D10" s="52" t="str">
        <f>Fattura!D10</f>
        <v>via Italia 100</v>
      </c>
      <c r="E10" s="52"/>
      <c r="F10" s="50"/>
    </row>
    <row r="11" spans="2:11" x14ac:dyDescent="0.25">
      <c r="B11" s="5" t="e">
        <f>INDEX(Archivio!I:I,MATCH(C2&amp;"-"&amp;YEAR(C3),Archivio!DE:DE,0))</f>
        <v>#N/A</v>
      </c>
      <c r="D11" s="52" t="str">
        <f>Fattura!D11</f>
        <v>Roma</v>
      </c>
      <c r="E11" s="52"/>
      <c r="F11" s="50"/>
    </row>
    <row r="12" spans="2:11" x14ac:dyDescent="0.25">
      <c r="B12" s="6" t="e">
        <f>INDEX(Archivio!J:J,MATCH(C2&amp;"-"&amp;YEAR(C3),Archivio!DE:DE,0))</f>
        <v>#N/A</v>
      </c>
      <c r="D12" s="52" t="str">
        <f>Fattura!D12</f>
        <v>00001</v>
      </c>
      <c r="E12" s="52"/>
      <c r="F12" s="50"/>
    </row>
    <row r="13" spans="2:11" x14ac:dyDescent="0.25">
      <c r="B13" s="5" t="e">
        <f>IF(INDEX(Archivio!K:K,MATCH(C2&amp;"-"&amp;YEAR(C3),Archivio!DE:DE,0))=0,"",INDEX(Archivio!K:K,MATCH(C2&amp;"-"&amp;YEAR(C3),Archivio!DE:DE,0)))</f>
        <v>#N/A</v>
      </c>
      <c r="D13" s="52" t="str">
        <f>Fattura!D13</f>
        <v>RM</v>
      </c>
      <c r="E13" s="52"/>
      <c r="F13" s="50"/>
    </row>
    <row r="14" spans="2:11" x14ac:dyDescent="0.25">
      <c r="B14" s="5" t="e">
        <f>IF(INDEX(Archivio!L:L,MATCH(C2&amp;"-"&amp;YEAR(C3),Archivio!DE:DE,0))=0,"",INDEX(Archivio!L:L,MATCH(C2&amp;"-"&amp;YEAR(C3),Archivio!DE:DE,0)))</f>
        <v>#N/A</v>
      </c>
      <c r="D14" s="52" t="str">
        <f>Fattura!D14</f>
        <v>Italia</v>
      </c>
      <c r="E14" s="52"/>
      <c r="F14" s="50"/>
    </row>
    <row r="15" spans="2:11" x14ac:dyDescent="0.25">
      <c r="B15" s="63" t="e">
        <f>IF(INDEX(Archivio!M:M,MATCH(C2&amp;"-"&amp;YEAR(C3),Archivio!DE:DE,0))=0,"",INDEX(Archivio!M:M,MATCH(C2&amp;"-"&amp;YEAR(C3),Archivio!DE:DE,0)))</f>
        <v>#N/A</v>
      </c>
      <c r="D15" s="52" t="str">
        <f>Fattura!D15</f>
        <v xml:space="preserve">+39 3441212123 </v>
      </c>
      <c r="E15" s="52"/>
      <c r="F15" s="50"/>
    </row>
    <row r="16" spans="2:11" x14ac:dyDescent="0.25">
      <c r="B16" s="5" t="e">
        <f>IF(INDEX(Archivio!N:N,MATCH(C2&amp;"-"&amp;YEAR(C3),Archivio!DE:DE,0))=0,"",INDEX(Archivio!N:N,MATCH(C2&amp;"-"&amp;YEAR(C3),Archivio!DE:DE,0)))</f>
        <v>#N/A</v>
      </c>
      <c r="D16" s="52" t="str">
        <f>Fattura!D16</f>
        <v>xyz@xyz.it</v>
      </c>
      <c r="E16" s="52"/>
      <c r="F16" s="50"/>
    </row>
    <row r="17" spans="2:7" x14ac:dyDescent="0.25">
      <c r="B17" s="63" t="e">
        <f>IF(INDEX(Archivio!O:O,MATCH(C2&amp;"-"&amp;YEAR(C3),Archivio!DE:DE,0))=0,"",INDEX(Archivio!O:O,MATCH(C2&amp;"-"&amp;YEAR(C3),Archivio!DE:DE,0)))</f>
        <v>#N/A</v>
      </c>
      <c r="D17" s="52" t="str">
        <f>Fattura!D17</f>
        <v>P.IVA 00091270028</v>
      </c>
      <c r="E17" s="52"/>
      <c r="F17" s="50"/>
    </row>
    <row r="18" spans="2:7" x14ac:dyDescent="0.25">
      <c r="B18" s="5" t="e">
        <f>IF(INDEX(Archivio!DG:DG,MATCH(C2&amp;"-"&amp;YEAR(C3),Archivio!DE:DE,0))=0,"",INDEX(Archivio!DG:DG,MATCH(C2&amp;"-"&amp;YEAR(C3),Archivio!DE:DE,0)))</f>
        <v>#N/A</v>
      </c>
    </row>
    <row r="19" spans="2:7" ht="15.75" thickBot="1" x14ac:dyDescent="0.3"/>
    <row r="20" spans="2:7" ht="15.75" thickBot="1" x14ac:dyDescent="0.3">
      <c r="B20" s="16" t="e">
        <f>INDEX(Archivio!DD:DD,MATCH(C2&amp;"-"&amp;YEAR(C3),Archivio!DE:DE,0))</f>
        <v>#N/A</v>
      </c>
      <c r="C20" s="17" t="str">
        <f>IF(COUNTBLANK(C21:C32)&lt;&gt;12,"Codice","")</f>
        <v>Codice</v>
      </c>
      <c r="D20" s="17" t="e">
        <f>IF(B20="Prodotto","Prezzo U.","Prezzo")</f>
        <v>#N/A</v>
      </c>
      <c r="E20" s="18" t="e">
        <f>IF(B20="Prodotto","Q","")</f>
        <v>#N/A</v>
      </c>
      <c r="F20" s="18" t="e">
        <f>INDEX(Archivio!DC:DC,MATCH(C2&amp;"-"&amp;YEAR(C3),Archivio!DE:DE,0))</f>
        <v>#N/A</v>
      </c>
      <c r="G20" s="19" t="s">
        <v>26</v>
      </c>
    </row>
    <row r="21" spans="2:7" x14ac:dyDescent="0.25">
      <c r="B21" s="66" t="e">
        <f>IF(INDEX(Archivio!P:P,MATCH(C2&amp;"-"&amp;YEAR(C3),Archivio!DE:DE,0))=0,"",INDEX(Archivio!P:P,MATCH(C2&amp;"-"&amp;YEAR(C3),Archivio!DE:DE,0)))</f>
        <v>#N/A</v>
      </c>
      <c r="C21" s="65" t="e">
        <f>IF(INDEX(Archivio!AB:AB,MATCH(C2&amp;"-"&amp;YEAR(C3),Archivio!DE:DE,0))=0,"",INDEX(Archivio!AB:AB,MATCH(C2&amp;"-"&amp;YEAR(C3),Archivio!DE:DE,0)))</f>
        <v>#N/A</v>
      </c>
      <c r="D21" s="67" t="e">
        <f>IF(INDEX(Archivio!AN:AN,MATCH(C2&amp;"-"&amp;YEAR(C3),Archivio!DE:DE,0))=0,"",INDEX(Archivio!AN:AN,MATCH(C2&amp;"-"&amp;YEAR(C3),Archivio!DE:DE,0)))</f>
        <v>#N/A</v>
      </c>
      <c r="E21" s="20" t="e">
        <f>IF(INDEX(Archivio!AZ:AZ,MATCH(C2&amp;"-"&amp;YEAR(C3),Archivio!DE:DE,0))=0,"",INDEX(Archivio!AZ:AZ,MATCH(C2&amp;"-"&amp;YEAR(C3),Archivio!DE:DE,0)))</f>
        <v>#N/A</v>
      </c>
      <c r="F21" s="68" t="e">
        <f>IF(INDEX(Archivio!BL:BL,MATCH(C2&amp;"-"&amp;YEAR(C3),Archivio!DE:DE,0))=0,"",INDEX(Archivio!BL:BL,MATCH(C2&amp;"-"&amp;YEAR(C3),Archivio!DE:DE,0)))</f>
        <v>#N/A</v>
      </c>
      <c r="G21" s="69" t="e">
        <f>IF(INDEX(Archivio!BX:BX,MATCH(C2&amp;"-"&amp;YEAR(C3),Archivio!DE:DE,0))=0,"",INDEX(Archivio!BX:BX,MATCH(C2&amp;"-"&amp;YEAR(C3),Archivio!DE:DE,0)))</f>
        <v>#N/A</v>
      </c>
    </row>
    <row r="22" spans="2:7" x14ac:dyDescent="0.25">
      <c r="B22" s="66" t="e">
        <f>IF(INDEX(Archivio!Q:Q,MATCH(C2&amp;"-"&amp;YEAR(C3),Archivio!DE:DE,0))=0,"",INDEX(Archivio!Q:Q,MATCH(C2&amp;"-"&amp;YEAR(C3),Archivio!DE:DE,0)))</f>
        <v>#N/A</v>
      </c>
      <c r="C22" s="65" t="e">
        <f>IF(INDEX(Archivio!AC:AC,MATCH(C2&amp;"-"&amp;YEAR(C3),Archivio!DE:DE,0))=0,"",INDEX(Archivio!AC:AC,MATCH(C2&amp;"-"&amp;YEAR(C3),Archivio!DE:DE,0)))</f>
        <v>#N/A</v>
      </c>
      <c r="D22" s="67" t="e">
        <f>IF(INDEX(Archivio!AO:AO,MATCH(C2&amp;"-"&amp;YEAR(C3),Archivio!DE:DE,0))=0,"",INDEX(Archivio!AO:AO,MATCH(C2&amp;"-"&amp;YEAR(C3),Archivio!DE:DE,0)))</f>
        <v>#N/A</v>
      </c>
      <c r="E22" s="20" t="e">
        <f>IF(INDEX(Archivio!BA:BA,MATCH(C2&amp;"-"&amp;YEAR(C3),Archivio!DE:DE,0))=0,"",INDEX(Archivio!BA:BA,MATCH(C2&amp;"-"&amp;YEAR(C3),Archivio!DE:DE,0)))</f>
        <v>#N/A</v>
      </c>
      <c r="F22" s="68" t="e">
        <f>IF(INDEX(Archivio!BM:BM,MATCH(C2&amp;"-"&amp;YEAR(C3),Archivio!DE:DE,0))=0,"",INDEX(Archivio!BM:BM,MATCH(C2&amp;"-"&amp;YEAR(C3),Archivio!DE:DE,0)))</f>
        <v>#N/A</v>
      </c>
      <c r="G22" s="69" t="e">
        <f>IF(INDEX(Archivio!BY:BY,MATCH(C2&amp;"-"&amp;YEAR(C3),Archivio!DE:DE,0))=0,"",INDEX(Archivio!BY:BY,MATCH(C2&amp;"-"&amp;YEAR(C3),Archivio!DE:DE,0)))</f>
        <v>#N/A</v>
      </c>
    </row>
    <row r="23" spans="2:7" x14ac:dyDescent="0.25">
      <c r="B23" s="66" t="e">
        <f>IF(INDEX(Archivio!R:R,MATCH(C2&amp;"-"&amp;YEAR(C3),Archivio!DE:DE,0))=0,"",INDEX(Archivio!R:R,MATCH(C2&amp;"-"&amp;YEAR(C3),Archivio!DE:DE,0)))</f>
        <v>#N/A</v>
      </c>
      <c r="C23" s="65" t="e">
        <f>IF(INDEX(Archivio!AD:AD,MATCH(C2&amp;"-"&amp;YEAR(C3),Archivio!DE:DE,0))=0,"",INDEX(Archivio!AD:AD,MATCH(C2&amp;"-"&amp;YEAR(C3),Archivio!DE:DE,0)))</f>
        <v>#N/A</v>
      </c>
      <c r="D23" s="67" t="e">
        <f>IF(INDEX(Archivio!AP:AP,MATCH(C2&amp;"-"&amp;YEAR(C3),Archivio!DE:DE,0))=0,"",INDEX(Archivio!AP:AP,MATCH(C2&amp;"-"&amp;YEAR(C3),Archivio!DE:DE,0)))</f>
        <v>#N/A</v>
      </c>
      <c r="E23" s="65" t="e">
        <f>IF(INDEX(Archivio!BB:BB,MATCH(C2&amp;"-"&amp;YEAR(C3),Archivio!DE:DE,0))=0,"",INDEX(Archivio!BB:BB,MATCH(C2&amp;"-"&amp;YEAR(C3),Archivio!DE:DE,0)))</f>
        <v>#N/A</v>
      </c>
      <c r="F23" s="68" t="e">
        <f>IF(INDEX(Archivio!BN:BN,MATCH(C2&amp;"-"&amp;YEAR(C3),Archivio!DE:DE,0))=0,"",INDEX(Archivio!BN:BN,MATCH(C2&amp;"-"&amp;YEAR(C3),Archivio!DE:DE,0)))</f>
        <v>#N/A</v>
      </c>
      <c r="G23" s="69" t="e">
        <f>IF(INDEX(Archivio!BZ:BZ,MATCH(C2&amp;"-"&amp;YEAR(C3),Archivio!DE:DE,0))=0,"",INDEX(Archivio!BZ:BZ,MATCH(C2&amp;"-"&amp;YEAR(C3),Archivio!DE:DE,0)))</f>
        <v>#N/A</v>
      </c>
    </row>
    <row r="24" spans="2:7" x14ac:dyDescent="0.25">
      <c r="B24" s="66" t="e">
        <f>IF(INDEX(Archivio!S:S,MATCH(C2&amp;"-"&amp;YEAR(C3),Archivio!DE:DE,0))=0,"",INDEX(Archivio!S:S,MATCH(C2&amp;"-"&amp;YEAR(C3),Archivio!DE:DE,0)))</f>
        <v>#N/A</v>
      </c>
      <c r="C24" s="65" t="e">
        <f>IF(INDEX(Archivio!AE:AE,MATCH(C2&amp;"-"&amp;YEAR(C3),Archivio!DE:DE,0))=0,"",INDEX(Archivio!AE:AE,MATCH(C2&amp;"-"&amp;YEAR(C3),Archivio!DE:DE,0)))</f>
        <v>#N/A</v>
      </c>
      <c r="D24" s="67" t="e">
        <f>IF(INDEX(Archivio!AQ:AQ,MATCH(C2&amp;"-"&amp;YEAR(C3),Archivio!DE:DE,0))=0,"",INDEX(Archivio!AQ:AQ,MATCH(C2&amp;"-"&amp;YEAR(C3),Archivio!DE:DE,0)))</f>
        <v>#N/A</v>
      </c>
      <c r="E24" s="20" t="e">
        <f>IF(INDEX(Archivio!BC:BC,MATCH(C2&amp;"-"&amp;YEAR(C3),Archivio!DE:DE,0))=0,"",INDEX(Archivio!BC:BC,MATCH(C2&amp;"-"&amp;YEAR(C3),Archivio!DE:DE,0)))</f>
        <v>#N/A</v>
      </c>
      <c r="F24" s="68" t="e">
        <f>IF(INDEX(Archivio!BO:BO,MATCH(C2&amp;"-"&amp;YEAR(C3),Archivio!DE:DE,0))=0,"",INDEX(Archivio!BO:BO,MATCH(C2&amp;"-"&amp;YEAR(C3),Archivio!DE:DE,0)))</f>
        <v>#N/A</v>
      </c>
      <c r="G24" s="69" t="e">
        <f>IF(INDEX(Archivio!CA:CA,MATCH(C2&amp;"-"&amp;YEAR(C3),Archivio!DE:DE,0))=0,"",INDEX(Archivio!CA:CA,MATCH(C2&amp;"-"&amp;YEAR(C3),Archivio!DE:DE,0)))</f>
        <v>#N/A</v>
      </c>
    </row>
    <row r="25" spans="2:7" x14ac:dyDescent="0.25">
      <c r="B25" s="66" t="e">
        <f>IF(INDEX(Archivio!T:T,MATCH(C2&amp;"-"&amp;YEAR(C3),Archivio!DE:DE,0))=0,"",INDEX(Archivio!T:T,MATCH(C2&amp;"-"&amp;YEAR(C3),Archivio!DE:DE,0)))</f>
        <v>#N/A</v>
      </c>
      <c r="C25" s="65" t="e">
        <f>IF(INDEX(Archivio!AF:AF,MATCH(C2&amp;"-"&amp;YEAR(C3),Archivio!DE:DE,0))=0,"",INDEX(Archivio!AF:AF,MATCH(C2&amp;"-"&amp;YEAR(C3),Archivio!DE:DE,0)))</f>
        <v>#N/A</v>
      </c>
      <c r="D25" s="67" t="e">
        <f>IF(INDEX(Archivio!AR:AR,MATCH(C2&amp;"-"&amp;YEAR(C3),Archivio!DE:DE,0))=0,"",INDEX(Archivio!AR:AR,MATCH(C2&amp;"-"&amp;YEAR(C3),Archivio!DE:DE,0)))</f>
        <v>#N/A</v>
      </c>
      <c r="E25" s="20" t="e">
        <f>IF(INDEX(Archivio!BD:BD,MATCH(C2&amp;"-"&amp;YEAR(C3),Archivio!DE:DE,0))=0,"",INDEX(Archivio!BD:BD,MATCH(C2&amp;"-"&amp;YEAR(C3),Archivio!DE:DE,0)))</f>
        <v>#N/A</v>
      </c>
      <c r="F25" s="68" t="e">
        <f>IF(INDEX(Archivio!BP:BP,MATCH(C2&amp;"-"&amp;YEAR(C3),Archivio!DE:DE,0))=0,"",INDEX(Archivio!BP:BP,MATCH(C2&amp;"-"&amp;YEAR(C3),Archivio!DE:DE,0)))</f>
        <v>#N/A</v>
      </c>
      <c r="G25" s="69" t="e">
        <f>IF(INDEX(Archivio!CB:CB,MATCH(C2&amp;"-"&amp;YEAR(C3),Archivio!DE:DE,0))=0,"",INDEX(Archivio!CB:CB,MATCH(C2&amp;"-"&amp;YEAR(C3),Archivio!DE:DE,0)))</f>
        <v>#N/A</v>
      </c>
    </row>
    <row r="26" spans="2:7" x14ac:dyDescent="0.25">
      <c r="B26" s="66" t="e">
        <f>IF(INDEX(Archivio!U:U,MATCH(C2&amp;"-"&amp;YEAR(C3),Archivio!DE:DE,0))=0,"",INDEX(Archivio!U:U,MATCH(C2&amp;"-"&amp;YEAR(C3),Archivio!DE:DE,0)))</f>
        <v>#N/A</v>
      </c>
      <c r="C26" s="65" t="e">
        <f>IF(INDEX(Archivio!AG:AG,MATCH(C2&amp;"-"&amp;YEAR(C3),Archivio!DE:DE,0))=0,"",INDEX(Archivio!AG:AG,MATCH(C2&amp;"-"&amp;YEAR(C3),Archivio!DE:DE,0)))</f>
        <v>#N/A</v>
      </c>
      <c r="D26" s="67" t="e">
        <f>IF(INDEX(Archivio!AS:AS,MATCH(C2&amp;"-"&amp;YEAR(C3),Archivio!DE:DE,0))=0,"",INDEX(Archivio!AS:AS,MATCH(C2&amp;"-"&amp;YEAR(C3),Archivio!DE:DE,0)))</f>
        <v>#N/A</v>
      </c>
      <c r="E26" s="20" t="e">
        <f>IF(INDEX(Archivio!BE:BE,MATCH(C2&amp;"-"&amp;YEAR(C3),Archivio!DE:DE,0))=0,"",INDEX(Archivio!BE:BE,MATCH(C2&amp;"-"&amp;YEAR(C3),Archivio!DE:DE,0)))</f>
        <v>#N/A</v>
      </c>
      <c r="F26" s="68" t="e">
        <f>IF(INDEX(Archivio!BQ:BQ,MATCH(C2&amp;"-"&amp;YEAR(C3),Archivio!DE:DE,0))=0,"",INDEX(Archivio!BQ:BQ,MATCH(C2&amp;"-"&amp;YEAR(C3),Archivio!DE:DE,0)))</f>
        <v>#N/A</v>
      </c>
      <c r="G26" s="69" t="e">
        <f>IF(INDEX(Archivio!CC:CC,MATCH(C2&amp;"-"&amp;YEAR(C3),Archivio!DE:DE,0))=0,"",INDEX(Archivio!CC:CC,MATCH(C2&amp;"-"&amp;YEAR(C3),Archivio!DE:DE,0)))</f>
        <v>#N/A</v>
      </c>
    </row>
    <row r="27" spans="2:7" x14ac:dyDescent="0.25">
      <c r="B27" s="66" t="e">
        <f>IF(INDEX(Archivio!V:V,MATCH(C2&amp;"-"&amp;YEAR(C3),Archivio!DE:DE,0))=0,"",INDEX(Archivio!V:V,MATCH(C2&amp;"-"&amp;YEAR(C3),Archivio!DE:DE,0)))</f>
        <v>#N/A</v>
      </c>
      <c r="C27" s="65" t="e">
        <f>IF(INDEX(Archivio!AH:AH,MATCH(C2&amp;"-"&amp;YEAR(C3),Archivio!DE:DE,0))=0,"",INDEX(Archivio!AH:AH,MATCH(C2&amp;"-"&amp;YEAR(C3),Archivio!DE:DE,0)))</f>
        <v>#N/A</v>
      </c>
      <c r="D27" s="67" t="e">
        <f>IF(INDEX(Archivio!AT:AT,MATCH(C2&amp;"-"&amp;YEAR(C3),Archivio!DE:DE,0))=0,"",INDEX(Archivio!AT:AT,MATCH(C2&amp;"-"&amp;YEAR(C3),Archivio!DE:DE,0)))</f>
        <v>#N/A</v>
      </c>
      <c r="E27" s="20" t="e">
        <f>IF(INDEX(Archivio!BF:BF,MATCH(C2&amp;"-"&amp;YEAR(C3),Archivio!DE:DE,0))=0,"",INDEX(Archivio!BF:BF,MATCH(C2&amp;"-"&amp;YEAR(C3),Archivio!DE:DE,0)))</f>
        <v>#N/A</v>
      </c>
      <c r="F27" s="68" t="e">
        <f>IF(INDEX(Archivio!BR:BR,MATCH(C2&amp;"-"&amp;YEAR(C3),Archivio!DE:DE,0))=0,"",INDEX(Archivio!BR:BR,MATCH(C2&amp;"-"&amp;YEAR(C3),Archivio!DE:DE,0)))</f>
        <v>#N/A</v>
      </c>
      <c r="G27" s="69" t="e">
        <f>IF(INDEX(Archivio!CD:CD,MATCH(C2&amp;"-"&amp;YEAR(C3),Archivio!DE:DE,0))=0,"",INDEX(Archivio!CD:CD,MATCH(C2&amp;"-"&amp;YEAR(C3),Archivio!DE:DE,0)))</f>
        <v>#N/A</v>
      </c>
    </row>
    <row r="28" spans="2:7" x14ac:dyDescent="0.25">
      <c r="B28" s="66" t="e">
        <f>IF(INDEX(Archivio!W:W,MATCH(C2&amp;"-"&amp;YEAR(C3),Archivio!DE:DE,0))=0,"",INDEX(Archivio!W:W,MATCH(C2&amp;"-"&amp;YEAR(C3),Archivio!DE:DE,0)))</f>
        <v>#N/A</v>
      </c>
      <c r="C28" s="65" t="e">
        <f>IF(INDEX(Archivio!AI:AI,MATCH(C2&amp;"-"&amp;YEAR(C3),Archivio!DE:DE,0))=0,"",INDEX(Archivio!AI:AI,MATCH(C2&amp;"-"&amp;YEAR(C3),Archivio!DE:DE,0)))</f>
        <v>#N/A</v>
      </c>
      <c r="D28" s="67" t="e">
        <f>IF(INDEX(Archivio!AU:AU,MATCH(C2&amp;"-"&amp;YEAR(C3),Archivio!DE:DE,0))=0,"",INDEX(Archivio!AU:AU,MATCH(C2&amp;"-"&amp;YEAR(C3),Archivio!DE:DE,0)))</f>
        <v>#N/A</v>
      </c>
      <c r="E28" s="20" t="e">
        <f>IF(INDEX(Archivio!BG:BG,MATCH(C2&amp;"-"&amp;YEAR(C3),Archivio!DE:DE,0))=0,"",INDEX(Archivio!BG:BG,MATCH(C2&amp;"-"&amp;YEAR(C3),Archivio!DE:DE,0)))</f>
        <v>#N/A</v>
      </c>
      <c r="F28" s="68" t="e">
        <f>IF(INDEX(Archivio!BS:BS,MATCH(C2&amp;"-"&amp;YEAR(C3),Archivio!DE:DE,0))=0,"",INDEX(Archivio!BS:BS,MATCH(C2&amp;"-"&amp;YEAR(C3),Archivio!DE:DE,0)))</f>
        <v>#N/A</v>
      </c>
      <c r="G28" s="69" t="e">
        <f>IF(INDEX(Archivio!CE:CE,MATCH(C2&amp;"-"&amp;YEAR(C3),Archivio!DE:DE,0))=0,"",INDEX(Archivio!CE:CE,MATCH(C2&amp;"-"&amp;YEAR(C3),Archivio!DE:DE,0)))</f>
        <v>#N/A</v>
      </c>
    </row>
    <row r="29" spans="2:7" x14ac:dyDescent="0.25">
      <c r="B29" s="66" t="e">
        <f>IF(INDEX(Archivio!X:X,MATCH(C2&amp;"-"&amp;YEAR(C3),Archivio!DE:DE,0))=0,"",INDEX(Archivio!X:X,MATCH(C2&amp;"-"&amp;YEAR(C3),Archivio!DE:DE,0)))</f>
        <v>#N/A</v>
      </c>
      <c r="C29" s="65" t="e">
        <f>IF(INDEX(Archivio!AJ:AJ,MATCH(C2&amp;"-"&amp;YEAR(C3),Archivio!DE:DE,0))=0,"",INDEX(Archivio!AJ:AJ,MATCH(C2&amp;"-"&amp;YEAR(C3),Archivio!DE:DE,0)))</f>
        <v>#N/A</v>
      </c>
      <c r="D29" s="67" t="e">
        <f>IF(INDEX(Archivio!AV:AV,MATCH(C2&amp;"-"&amp;YEAR(C3),Archivio!DE:DE,0))=0,"",INDEX(Archivio!AV:AV,MATCH(C2&amp;"-"&amp;YEAR(C3),Archivio!DE:DE,0)))</f>
        <v>#N/A</v>
      </c>
      <c r="E29" s="20" t="e">
        <f>IF(INDEX(Archivio!BH:BH,MATCH(C2&amp;"-"&amp;YEAR(C3),Archivio!DE:DE,0))=0,"",INDEX(Archivio!BH:BH,MATCH(C2&amp;"-"&amp;YEAR(C3),Archivio!DE:DE,0)))</f>
        <v>#N/A</v>
      </c>
      <c r="F29" s="68" t="e">
        <f>IF(INDEX(Archivio!BT:BT,MATCH(C2&amp;"-"&amp;YEAR(C3),Archivio!DE:DE,0))=0,"",INDEX(Archivio!BT:BT,MATCH(C2&amp;"-"&amp;YEAR(C3),Archivio!DE:DE,0)))</f>
        <v>#N/A</v>
      </c>
      <c r="G29" s="69" t="e">
        <f>IF(INDEX(Archivio!CF:CF,MATCH(C2&amp;"-"&amp;YEAR(C3),Archivio!DE:DE,0))=0,"",INDEX(Archivio!CF:CF,MATCH(C2&amp;"-"&amp;YEAR(C3),Archivio!DE:DE,0)))</f>
        <v>#N/A</v>
      </c>
    </row>
    <row r="30" spans="2:7" x14ac:dyDescent="0.25">
      <c r="B30" s="66" t="e">
        <f>IF(INDEX(Archivio!Y:Y,MATCH(C2&amp;"-"&amp;YEAR(C3),Archivio!DE:DE,0))=0,"",INDEX(Archivio!Y:Y,MATCH(C2&amp;"-"&amp;YEAR(C3),Archivio!DE:DE,0)))</f>
        <v>#N/A</v>
      </c>
      <c r="C30" s="65" t="e">
        <f>IF(INDEX(Archivio!AK:AK,MATCH(C2&amp;"-"&amp;YEAR(C3),Archivio!DE:DE,0))=0,"",INDEX(Archivio!AK:AK,MATCH(C2&amp;"-"&amp;YEAR(C3),Archivio!DE:DE,0)))</f>
        <v>#N/A</v>
      </c>
      <c r="D30" s="67" t="e">
        <f>IF(INDEX(Archivio!AW:AW,MATCH(C2&amp;"-"&amp;YEAR(C3),Archivio!DE:DE,0))=0,"",INDEX(Archivio!AW:AW,MATCH(C2&amp;"-"&amp;YEAR(C3),Archivio!DE:DE,0)))</f>
        <v>#N/A</v>
      </c>
      <c r="E30" s="20" t="e">
        <f>IF(INDEX(Archivio!BI:BI,MATCH(C2&amp;"-"&amp;YEAR(C3),Archivio!DE:DE,0))=0,"",INDEX(Archivio!BI:BI,MATCH(C2&amp;"-"&amp;YEAR(C3),Archivio!DE:DE,0)))</f>
        <v>#N/A</v>
      </c>
      <c r="F30" s="68" t="e">
        <f>IF(INDEX(Archivio!BU:BU,MATCH(C2&amp;"-"&amp;YEAR(C3),Archivio!DE:DE,0))=0,"",INDEX(Archivio!BU:BU,MATCH(C2&amp;"-"&amp;YEAR(C3),Archivio!DE:DE,0)))</f>
        <v>#N/A</v>
      </c>
      <c r="G30" s="69" t="e">
        <f>IF(INDEX(Archivio!CG:CG,MATCH(C2&amp;"-"&amp;YEAR(C3),Archivio!DE:DE,0))=0,"",INDEX(Archivio!CG:CG,MATCH(C2&amp;"-"&amp;YEAR(C3),Archivio!DE:DE,0)))</f>
        <v>#N/A</v>
      </c>
    </row>
    <row r="31" spans="2:7" x14ac:dyDescent="0.25">
      <c r="B31" s="66" t="e">
        <f>IF(INDEX(Archivio!Z:Z,MATCH(C2&amp;"-"&amp;YEAR(C3),Archivio!DE:DE,0))=0,"",INDEX(Archivio!Z:Z,MATCH(C2&amp;"-"&amp;YEAR(C3),Archivio!DE:DE,0)))</f>
        <v>#N/A</v>
      </c>
      <c r="C31" s="65" t="e">
        <f>IF(INDEX(Archivio!AL:AL,MATCH(C2&amp;"-"&amp;YEAR(C3),Archivio!DE:DE,0))=0,"",INDEX(Archivio!AL:AL,MATCH(C2&amp;"-"&amp;YEAR(C3),Archivio!DE:DE,0)))</f>
        <v>#N/A</v>
      </c>
      <c r="D31" s="67" t="e">
        <f>IF(INDEX(Archivio!AX:AX,MATCH(C2&amp;"-"&amp;YEAR(C3),Archivio!DE:DE,0))=0,"",INDEX(Archivio!AX:AX,MATCH(C2&amp;"-"&amp;YEAR(C3),Archivio!DE:DE,0)))</f>
        <v>#N/A</v>
      </c>
      <c r="E31" s="20" t="e">
        <f>IF(INDEX(Archivio!BJ:BJ,MATCH(C2&amp;"-"&amp;YEAR(C3),Archivio!DE:DE,0))=0,"",INDEX(Archivio!BJ:BJ,MATCH(C2&amp;"-"&amp;YEAR(C3),Archivio!DE:DE,0)))</f>
        <v>#N/A</v>
      </c>
      <c r="F31" s="68" t="e">
        <f>IF(INDEX(Archivio!BV:BV,MATCH(C2&amp;"-"&amp;YEAR(C3),Archivio!DE:DE,0))=0,"",INDEX(Archivio!BV:BV,MATCH(C2&amp;"-"&amp;YEAR(C3),Archivio!DE:DE,0)))</f>
        <v>#N/A</v>
      </c>
      <c r="G31" s="69" t="e">
        <f>IF(INDEX(Archivio!CH:CH,MATCH(C2&amp;"-"&amp;YEAR(C3),Archivio!DE:DE,0))=0,"",INDEX(Archivio!CH:CH,MATCH(C2&amp;"-"&amp;YEAR(C3),Archivio!DE:DE,0)))</f>
        <v>#N/A</v>
      </c>
    </row>
    <row r="32" spans="2:7" x14ac:dyDescent="0.25">
      <c r="B32" s="66" t="e">
        <f>IF(INDEX(Archivio!AA:AA,MATCH(C2&amp;"-"&amp;YEAR(C3),Archivio!DE:DE,0))=0,"",INDEX(Archivio!AA:AA,MATCH(C2&amp;"-"&amp;YEAR(C3),Archivio!DE:DE,0)))</f>
        <v>#N/A</v>
      </c>
      <c r="C32" s="65" t="e">
        <f>IF(INDEX(Archivio!AM:AM,MATCH(C2&amp;"-"&amp;YEAR(C3),Archivio!DE:DE,0))=0,"",INDEX(Archivio!AM:AM,MATCH(C2&amp;"-"&amp;YEAR(C3),Archivio!DE:DE,0)))</f>
        <v>#N/A</v>
      </c>
      <c r="D32" s="70" t="e">
        <f>IF(INDEX(Archivio!AY:AY,MATCH(C2&amp;"-"&amp;YEAR(C3),Archivio!DE:DE,0))=0,"",INDEX(Archivio!AY:AY,MATCH(C2&amp;"-"&amp;YEAR(C3),Archivio!DE:DE,0)))</f>
        <v>#N/A</v>
      </c>
      <c r="E32" s="20" t="e">
        <f>IF(INDEX(Archivio!BK:BK,MATCH(C2&amp;"-"&amp;YEAR(C3),Archivio!DE:DE,0))=0,"",INDEX(Archivio!BK:BK,MATCH(C2&amp;"-"&amp;YEAR(C3),Archivio!DE:DE,0)))</f>
        <v>#N/A</v>
      </c>
      <c r="F32" s="68" t="e">
        <f>IF(INDEX(Archivio!BW:BW,MATCH(C2&amp;"-"&amp;YEAR(C3),Archivio!DE:DE,0))=0,"",INDEX(Archivio!BW:BW,MATCH(C2&amp;"-"&amp;YEAR(C3),Archivio!DE:DE,0)))</f>
        <v>#N/A</v>
      </c>
      <c r="G32" s="69" t="e">
        <f>IF(INDEX(Archivio!CI:CI,MATCH(C2&amp;"-"&amp;YEAR(C3),Archivio!DE:DE,0))=0,"",INDEX(Archivio!CI:CI,MATCH(C2&amp;"-"&amp;YEAR(C3),Archivio!DE:DE,0)))</f>
        <v>#N/A</v>
      </c>
    </row>
    <row r="34" spans="2:7" x14ac:dyDescent="0.25">
      <c r="B34" s="45"/>
      <c r="F34" s="38" t="s">
        <v>45</v>
      </c>
      <c r="G34" s="40" t="e">
        <f>INDEX(Archivio!CJ:CJ,MATCH(C2&amp;"-"&amp;YEAR(C3),Archivio!DE:DE,0))</f>
        <v>#N/A</v>
      </c>
    </row>
    <row r="35" spans="2:7" x14ac:dyDescent="0.25">
      <c r="B35" s="45"/>
      <c r="F35" s="38" t="s">
        <v>42</v>
      </c>
      <c r="G35" s="39" t="e">
        <f>INDEX(Archivio!CK:CK,MATCH(C2&amp;"-"&amp;YEAR(C3),Archivio!DE:DE,0))</f>
        <v>#N/A</v>
      </c>
    </row>
    <row r="36" spans="2:7" x14ac:dyDescent="0.25">
      <c r="B36" s="45"/>
      <c r="F36" s="38" t="s">
        <v>43</v>
      </c>
      <c r="G36" s="40" t="e">
        <f>INDEX(Archivio!CL:CL,MATCH(C2&amp;"-"&amp;YEAR(C3),Archivio!DE:DE,0))</f>
        <v>#N/A</v>
      </c>
    </row>
    <row r="37" spans="2:7" x14ac:dyDescent="0.25">
      <c r="B37" s="10" t="e">
        <f>IF(AND(B39="",B40="",B41=""),"","Dettagli Pagamento tramite "&amp;C5)</f>
        <v>#N/A</v>
      </c>
      <c r="F37" s="10" t="s">
        <v>44</v>
      </c>
      <c r="G37" s="29" t="e">
        <f>INDEX(Archivio!CM:CM,MATCH(C2&amp;"-"&amp;YEAR(C3),Archivio!DE:DE,0))</f>
        <v>#N/A</v>
      </c>
    </row>
    <row r="38" spans="2:7" x14ac:dyDescent="0.25">
      <c r="B38" s="65" t="e">
        <f>IF(INDEX(Archivio!CY:CY,MATCH(C2&amp;"-"&amp;YEAR(C3),Archivio!DE:DE,0))=0,"",INDEX(Archivio!CY:CY,MATCH(C2&amp;"-"&amp;YEAR(C3),Archivio!DE:DE,0)))</f>
        <v>#N/A</v>
      </c>
      <c r="F38" t="s">
        <v>47</v>
      </c>
      <c r="G38" s="30" t="e">
        <f>INDEX(Archivio!CN:CN,MATCH(C2&amp;"-"&amp;YEAR(C3),Archivio!DE:DE,0))</f>
        <v>#N/A</v>
      </c>
    </row>
    <row r="39" spans="2:7" x14ac:dyDescent="0.25">
      <c r="B39" s="65" t="e">
        <f>IF(INDEX(Archivio!CZ:CZ,MATCH(C2&amp;"-"&amp;YEAR(C3),Archivio!DE:DE,0))=0,"",INDEX(Archivio!CZ:CZ,MATCH(C2&amp;"-"&amp;YEAR(C3),Archivio!DE:DE,0)))</f>
        <v>#N/A</v>
      </c>
      <c r="F39" s="10" t="s">
        <v>46</v>
      </c>
      <c r="G39" s="29" t="e">
        <f>INDEX(Archivio!CO:CO,MATCH(C2&amp;"-"&amp;YEAR(C3),Archivio!DE:DE,0))</f>
        <v>#N/A</v>
      </c>
    </row>
    <row r="40" spans="2:7" x14ac:dyDescent="0.25">
      <c r="B40" s="65" t="e">
        <f>IF(INDEX(Archivio!DA:DA,MATCH(C2&amp;"-"&amp;YEAR(C3),Archivio!DE:DE,0))=0,"",INDEX(Archivio!DA:DA,MATCH(C2&amp;"-"&amp;YEAR(C3),Archivio!DE:DE,0)))</f>
        <v>#N/A</v>
      </c>
      <c r="D40" t="e">
        <f>IF(G36&gt;G34,"non puoi applicare questo sconto","")</f>
        <v>#N/A</v>
      </c>
    </row>
    <row r="41" spans="2:7" x14ac:dyDescent="0.25">
      <c r="B41" s="65" t="e">
        <f>IF(INDEX(Archivio!DB:DB,MATCH(C2&amp;"-"&amp;YEAR(C3),Archivio!DE:DE,0))=0,"",INDEX(Archivio!DB:DB,MATCH(C2&amp;"-"&amp;YEAR(C3),Archivio!DE:DE,0)))</f>
        <v>#N/A</v>
      </c>
    </row>
    <row r="43" spans="2:7" ht="36" x14ac:dyDescent="0.55000000000000004">
      <c r="B43" s="28" t="s">
        <v>54</v>
      </c>
      <c r="C43" s="28"/>
      <c r="D43" s="28"/>
      <c r="E43" s="28"/>
      <c r="F43" s="28"/>
      <c r="G43" s="28"/>
    </row>
    <row r="44" spans="2:7" x14ac:dyDescent="0.25">
      <c r="C44" s="31" t="s">
        <v>55</v>
      </c>
      <c r="D44" s="31"/>
    </row>
    <row r="45" spans="2:7" x14ac:dyDescent="0.25">
      <c r="C45" s="32" t="str">
        <f>D15</f>
        <v xml:space="preserve">+39 3441212123 </v>
      </c>
      <c r="D45" s="32"/>
    </row>
  </sheetData>
  <conditionalFormatting sqref="E21:E32">
    <cfRule type="expression" dxfId="2" priority="1">
      <formula>$E$20&lt;&gt;"Q"</formula>
    </cfRule>
  </conditionalFormatting>
  <conditionalFormatting sqref="D32">
    <cfRule type="notContainsBlanks" dxfId="1" priority="3">
      <formula>LEN(TRIM(D32))&gt;0</formula>
    </cfRule>
  </conditionalFormatting>
  <conditionalFormatting sqref="B33:G33">
    <cfRule type="containsBlanks" dxfId="0" priority="2">
      <formula>LEN(TRIM(B33))=0</formula>
    </cfRule>
  </conditionalFormatting>
  <dataValidations count="2">
    <dataValidation type="decimal" operator="greaterThan" allowBlank="1" showInputMessage="1" showErrorMessage="1" sqref="D21:D32">
      <formula1>0</formula1>
    </dataValidation>
    <dataValidation type="whole" operator="greaterThan" allowBlank="1" showInputMessage="1" showErrorMessage="1" sqref="E21:E22 E24:E32">
      <formula1>0</formula1>
    </dataValidation>
  </dataValidations>
  <pageMargins left="0.375" right="0.42708333333333331" top="0.75" bottom="0.75" header="0.3" footer="0.3"/>
  <pageSetup paperSize="9" orientation="portrait" r:id="rId1"/>
  <headerFooter>
    <oddHeader>&amp;RData: &amp;D
Ora: &amp;T</oddHeader>
    <oddFooter>&amp;C&amp;P&amp;R&amp;"-,Corsivo"&amp;9v1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operator="greaterThan" allowBlank="1" showInputMessage="1" showErrorMessage="1" errorTitle="Vallore d'IVA non dichiarato" error="Sei sicuro che sia la percentuale corretta??">
          <x14:formula1>
            <xm:f>Menu!$G$2:$G$4</xm:f>
          </x14:formula1>
          <xm:sqref>F21:F32</xm:sqref>
        </x14:dataValidation>
        <x14:dataValidation type="list" allowBlank="1" showInputMessage="1" showErrorMessage="1">
          <x14:formula1>
            <xm:f>Menu!$F$1:$F$2</xm:f>
          </x14:formula1>
          <xm:sqref>B20</xm:sqref>
        </x14:dataValidation>
        <x14:dataValidation type="list" allowBlank="1" showInputMessage="1" showErrorMessage="1">
          <x14:formula1>
            <xm:f>Menu!$E$1:$E$2</xm:f>
          </x14:formula1>
          <xm:sqref>F20</xm:sqref>
        </x14:dataValidation>
        <x14:dataValidation type="list" allowBlank="1" showInputMessage="1" showErrorMessage="1">
          <x14:formula1>
            <xm:f>Menu!$A$2:$A$5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I42"/>
  <sheetViews>
    <sheetView workbookViewId="0"/>
  </sheetViews>
  <sheetFormatPr defaultRowHeight="15" x14ac:dyDescent="0.25"/>
  <cols>
    <col min="1" max="1" width="21.5703125" customWidth="1"/>
    <col min="2" max="4" width="35.5703125" customWidth="1"/>
    <col min="5" max="5" width="9.7109375" bestFit="1" customWidth="1"/>
    <col min="7" max="7" width="12.42578125" bestFit="1" customWidth="1"/>
    <col min="8" max="8" width="21.140625" bestFit="1" customWidth="1"/>
  </cols>
  <sheetData>
    <row r="1" spans="1:9" x14ac:dyDescent="0.25">
      <c r="A1" s="26" t="s">
        <v>24</v>
      </c>
      <c r="B1" s="26" t="s">
        <v>48</v>
      </c>
      <c r="C1" s="26" t="s">
        <v>49</v>
      </c>
      <c r="D1" s="26" t="s">
        <v>51</v>
      </c>
      <c r="E1" t="s">
        <v>27</v>
      </c>
      <c r="F1" t="s">
        <v>25</v>
      </c>
      <c r="G1" s="10" t="s">
        <v>40</v>
      </c>
      <c r="H1" s="10" t="s">
        <v>74</v>
      </c>
      <c r="I1" s="10" t="s">
        <v>68</v>
      </c>
    </row>
    <row r="2" spans="1:9" x14ac:dyDescent="0.25">
      <c r="A2" s="2" t="s">
        <v>20</v>
      </c>
      <c r="B2" s="2" t="s">
        <v>50</v>
      </c>
      <c r="C2" s="27" t="s">
        <v>16</v>
      </c>
      <c r="D2" s="27"/>
      <c r="E2" s="11" t="s">
        <v>28</v>
      </c>
      <c r="F2" t="s">
        <v>29</v>
      </c>
      <c r="G2" s="21">
        <v>0.22</v>
      </c>
      <c r="H2" t="s">
        <v>61</v>
      </c>
      <c r="I2" t="s">
        <v>69</v>
      </c>
    </row>
    <row r="3" spans="1:9" x14ac:dyDescent="0.25">
      <c r="A3" s="2" t="s">
        <v>21</v>
      </c>
      <c r="B3" s="2" t="s">
        <v>53</v>
      </c>
      <c r="C3" s="2" t="s">
        <v>52</v>
      </c>
      <c r="D3" s="2"/>
      <c r="G3" s="21">
        <v>0.1</v>
      </c>
      <c r="H3" t="s">
        <v>62</v>
      </c>
      <c r="I3" t="s">
        <v>70</v>
      </c>
    </row>
    <row r="4" spans="1:9" x14ac:dyDescent="0.25">
      <c r="A4" s="2" t="s">
        <v>22</v>
      </c>
      <c r="B4" s="2"/>
      <c r="C4" s="2"/>
      <c r="D4" s="2"/>
      <c r="G4" s="21">
        <v>0.04</v>
      </c>
      <c r="H4" t="s">
        <v>63</v>
      </c>
      <c r="I4" t="s">
        <v>71</v>
      </c>
    </row>
    <row r="5" spans="1:9" x14ac:dyDescent="0.25">
      <c r="A5" s="2" t="s">
        <v>23</v>
      </c>
      <c r="B5" s="2" t="str">
        <f>"Intestato a: "&amp;Fattura!D9</f>
        <v>Intestato a: Azienda XYZ</v>
      </c>
      <c r="C5" s="2"/>
      <c r="D5" s="2"/>
      <c r="G5" s="21"/>
      <c r="H5" t="s">
        <v>64</v>
      </c>
      <c r="I5" t="s">
        <v>73</v>
      </c>
    </row>
    <row r="6" spans="1:9" x14ac:dyDescent="0.25">
      <c r="H6" t="s">
        <v>65</v>
      </c>
    </row>
    <row r="7" spans="1:9" x14ac:dyDescent="0.25">
      <c r="H7" t="s">
        <v>66</v>
      </c>
    </row>
    <row r="20" spans="1:4" ht="45" x14ac:dyDescent="0.25">
      <c r="A20" s="46" t="s">
        <v>56</v>
      </c>
      <c r="B20" t="s">
        <v>58</v>
      </c>
    </row>
    <row r="21" spans="1:4" x14ac:dyDescent="0.25">
      <c r="A21" s="34">
        <f>IFERROR(Fattura!G:G-(Fattura!G:G/(1+Fattura!F:F)),0)</f>
        <v>0</v>
      </c>
      <c r="B21" s="21" t="str">
        <f>IF(Fattura!F21=MAX(Fattura!$F$21:$F$32),"MAX",IF(Fattura!F21=MIN(Fattura!$F$21:$F$32),"min","Medio"))</f>
        <v>MAX</v>
      </c>
    </row>
    <row r="22" spans="1:4" x14ac:dyDescent="0.25">
      <c r="A22" s="34">
        <f>IFERROR(Fattura!G:G-(Fattura!G:G/(1+Fattura!F:F)),0)</f>
        <v>0</v>
      </c>
      <c r="B22" s="21" t="str">
        <f>IF(Fattura!F22=MAX(Fattura!$F$21:$F$32),"MAX",IF(Fattura!F22=MIN(Fattura!$F$21:$F$32),"min","Medio"))</f>
        <v>MAX</v>
      </c>
      <c r="C22" s="46" t="s">
        <v>173</v>
      </c>
      <c r="D22" t="s">
        <v>174</v>
      </c>
    </row>
    <row r="23" spans="1:4" x14ac:dyDescent="0.25">
      <c r="A23" s="34">
        <f>IFERROR(Fattura!G:G-(Fattura!G:G/(1+Fattura!F:F)),0)</f>
        <v>0</v>
      </c>
      <c r="B23" s="21" t="str">
        <f>IF(Fattura!F23=MAX(Fattura!$F$21:$F$32),"MAX",IF(Fattura!F23=MIN(Fattura!$F$21:$F$32),"min","Medio"))</f>
        <v>MAX</v>
      </c>
      <c r="C23">
        <f>IFERROR(Rimborso!G:G-(Rimborso!G:G/(1+Rimborso!F:F)),0)</f>
        <v>5.4098360655737707</v>
      </c>
      <c r="D23" t="str">
        <f>IF(Rimborso!F23=MAX(Rimborso!$F$23:$F$34),"MAX",IF(Rimborso!F23=MIN(Rimborso!$F$23:$F$34),"min","Medio"))</f>
        <v>MAX</v>
      </c>
    </row>
    <row r="24" spans="1:4" x14ac:dyDescent="0.25">
      <c r="A24" s="34">
        <f>IFERROR(Fattura!G:G-(Fattura!G:G/(1+Fattura!F:F)),0)</f>
        <v>0</v>
      </c>
      <c r="B24" s="21" t="str">
        <f>IF(Fattura!F24=MAX(Fattura!$F$21:$F$32),"MAX",IF(Fattura!F24=MIN(Fattura!$F$21:$F$32),"min","Medio"))</f>
        <v>MAX</v>
      </c>
      <c r="C24">
        <f>IFERROR(Rimborso!G:G-(Rimborso!G:G/(1+Rimborso!F:F)),0)</f>
        <v>0</v>
      </c>
      <c r="D24" t="str">
        <f>IF(Rimborso!F24=MAX(Rimborso!$F$23:$F$34),"MAX",IF(Rimborso!F24=MIN(Rimborso!$F$23:$F$34),"min","Medio"))</f>
        <v>Medio</v>
      </c>
    </row>
    <row r="25" spans="1:4" x14ac:dyDescent="0.25">
      <c r="A25" s="34">
        <f>IFERROR(Fattura!G:G-(Fattura!G:G/(1+Fattura!F:F)),0)</f>
        <v>0</v>
      </c>
      <c r="B25" s="21" t="str">
        <f>IF(Fattura!F25=MAX(Fattura!$F$21:$F$32),"MAX",IF(Fattura!F25=MIN(Fattura!$F$21:$F$32),"min","Medio"))</f>
        <v>MAX</v>
      </c>
      <c r="C25">
        <f>IFERROR(Rimborso!G:G-(Rimborso!G:G/(1+Rimborso!F:F)),0)</f>
        <v>0</v>
      </c>
      <c r="D25" t="str">
        <f>IF(Rimborso!F25=MAX(Rimborso!$F$23:$F$34),"MAX",IF(Rimborso!F25=MIN(Rimborso!$F$23:$F$34),"min","Medio"))</f>
        <v>Medio</v>
      </c>
    </row>
    <row r="26" spans="1:4" x14ac:dyDescent="0.25">
      <c r="A26" s="34">
        <f>IFERROR(Fattura!G:G-(Fattura!G:G/(1+Fattura!F:F)),0)</f>
        <v>0</v>
      </c>
      <c r="B26" s="21" t="str">
        <f>IF(Fattura!F26=MAX(Fattura!$F$21:$F$32),"MAX",IF(Fattura!F26=MIN(Fattura!$F$21:$F$32),"min","Medio"))</f>
        <v>MAX</v>
      </c>
      <c r="C26">
        <f>IFERROR(Rimborso!G:G-(Rimborso!G:G/(1+Rimborso!F:F)),0)</f>
        <v>0</v>
      </c>
      <c r="D26" t="str">
        <f>IF(Rimborso!F26=MAX(Rimborso!$F$23:$F$34),"MAX",IF(Rimborso!F26=MIN(Rimborso!$F$23:$F$34),"min","Medio"))</f>
        <v>Medio</v>
      </c>
    </row>
    <row r="27" spans="1:4" x14ac:dyDescent="0.25">
      <c r="A27" s="34">
        <f>IFERROR(Fattura!G:G-(Fattura!G:G/(1+Fattura!F:F)),0)</f>
        <v>0</v>
      </c>
      <c r="B27" s="21" t="str">
        <f>IF(Fattura!F27=MAX(Fattura!$F$21:$F$32),"MAX",IF(Fattura!F27=MIN(Fattura!$F$21:$F$32),"min","Medio"))</f>
        <v>MAX</v>
      </c>
      <c r="C27">
        <f>IFERROR(Rimborso!G:G-(Rimborso!G:G/(1+Rimborso!F:F)),0)</f>
        <v>0</v>
      </c>
      <c r="D27" t="str">
        <f>IF(Rimborso!F27=MAX(Rimborso!$F$23:$F$34),"MAX",IF(Rimborso!F27=MIN(Rimborso!$F$23:$F$34),"min","Medio"))</f>
        <v>Medio</v>
      </c>
    </row>
    <row r="28" spans="1:4" x14ac:dyDescent="0.25">
      <c r="A28" s="34">
        <f>IFERROR(Fattura!G:G-(Fattura!G:G/(1+Fattura!F:F)),0)</f>
        <v>0</v>
      </c>
      <c r="B28" s="21" t="str">
        <f>IF(Fattura!F28=MAX(Fattura!$F$21:$F$32),"MAX",IF(Fattura!F28=MIN(Fattura!$F$21:$F$32),"min","Medio"))</f>
        <v>MAX</v>
      </c>
      <c r="C28">
        <f>IFERROR(Rimborso!G:G-(Rimborso!G:G/(1+Rimborso!F:F)),0)</f>
        <v>0</v>
      </c>
      <c r="D28" t="str">
        <f>IF(Rimborso!F28=MAX(Rimborso!$F$23:$F$34),"MAX",IF(Rimborso!F28=MIN(Rimborso!$F$23:$F$34),"min","Medio"))</f>
        <v>Medio</v>
      </c>
    </row>
    <row r="29" spans="1:4" x14ac:dyDescent="0.25">
      <c r="A29" s="34">
        <f>IFERROR(Fattura!G:G-(Fattura!G:G/(1+Fattura!F:F)),0)</f>
        <v>0</v>
      </c>
      <c r="B29" s="21" t="str">
        <f>IF(Fattura!F29=MAX(Fattura!$F$21:$F$32),"MAX",IF(Fattura!F29=MIN(Fattura!$F$21:$F$32),"min","Medio"))</f>
        <v>MAX</v>
      </c>
      <c r="C29">
        <f>IFERROR(Rimborso!G:G-(Rimborso!G:G/(1+Rimborso!F:F)),0)</f>
        <v>0</v>
      </c>
      <c r="D29" t="str">
        <f>IF(Rimborso!F29=MAX(Rimborso!$F$23:$F$34),"MAX",IF(Rimborso!F29=MIN(Rimborso!$F$23:$F$34),"min","Medio"))</f>
        <v>Medio</v>
      </c>
    </row>
    <row r="30" spans="1:4" x14ac:dyDescent="0.25">
      <c r="A30" s="34">
        <f>IFERROR(Fattura!G:G-(Fattura!G:G/(1+Fattura!F:F)),0)</f>
        <v>0</v>
      </c>
      <c r="B30" s="21" t="str">
        <f>IF(Fattura!F30=MAX(Fattura!$F$21:$F$32),"MAX",IF(Fattura!F30=MIN(Fattura!$F$21:$F$32),"min","Medio"))</f>
        <v>MAX</v>
      </c>
      <c r="C30">
        <f>IFERROR(Rimborso!G:G-(Rimborso!G:G/(1+Rimborso!F:F)),0)</f>
        <v>0</v>
      </c>
      <c r="D30" t="str">
        <f>IF(Rimborso!F30=MAX(Rimborso!$F$23:$F$34),"MAX",IF(Rimborso!F30=MIN(Rimborso!$F$23:$F$34),"min","Medio"))</f>
        <v>Medio</v>
      </c>
    </row>
    <row r="31" spans="1:4" x14ac:dyDescent="0.25">
      <c r="A31" s="34">
        <f>IFERROR(Fattura!G:G-(Fattura!G:G/(1+Fattura!F:F)),0)</f>
        <v>0</v>
      </c>
      <c r="B31" s="21" t="str">
        <f>IF(Fattura!F31=MAX(Fattura!$F$21:$F$32),"MAX",IF(Fattura!F31=MIN(Fattura!$F$21:$F$32),"min","Medio"))</f>
        <v>MAX</v>
      </c>
      <c r="C31">
        <f>IFERROR(Rimborso!G:G-(Rimborso!G:G/(1+Rimborso!F:F)),0)</f>
        <v>0</v>
      </c>
      <c r="D31" t="str">
        <f>IF(Rimborso!F31=MAX(Rimborso!$F$23:$F$34),"MAX",IF(Rimborso!F31=MIN(Rimborso!$F$23:$F$34),"min","Medio"))</f>
        <v>Medio</v>
      </c>
    </row>
    <row r="32" spans="1:4" x14ac:dyDescent="0.25">
      <c r="A32" s="34">
        <f>IFERROR(Fattura!G:G-(Fattura!G:G/(1+Fattura!F:F)),0)</f>
        <v>0</v>
      </c>
      <c r="B32" s="21" t="str">
        <f>IF(Fattura!F32=MAX(Fattura!$F$21:$F$32),"MAX",IF(Fattura!F32=MIN(Fattura!$F$21:$F$32),"min","Medio"))</f>
        <v>MAX</v>
      </c>
      <c r="C32">
        <f>IFERROR(Rimborso!G:G-(Rimborso!G:G/(1+Rimborso!F:F)),0)</f>
        <v>0</v>
      </c>
      <c r="D32" t="str">
        <f>IF(Rimborso!F32=MAX(Rimborso!$F$23:$F$34),"MAX",IF(Rimborso!F32=MIN(Rimborso!$F$23:$F$34),"min","Medio"))</f>
        <v>Medio</v>
      </c>
    </row>
    <row r="33" spans="1:8" x14ac:dyDescent="0.25">
      <c r="A33" t="s">
        <v>57</v>
      </c>
      <c r="C33">
        <f>IFERROR(Rimborso!G:G-(Rimborso!G:G/(1+Rimborso!F:F)),0)</f>
        <v>0</v>
      </c>
      <c r="D33" t="str">
        <f>IF(Rimborso!F33=MAX(Rimborso!$F$23:$F$34),"MAX",IF(Rimborso!F33=MIN(Rimborso!$F$23:$F$34),"min","Medio"))</f>
        <v>Medio</v>
      </c>
    </row>
    <row r="34" spans="1:8" x14ac:dyDescent="0.25">
      <c r="A34" s="35">
        <f>SUM(E39:E42)</f>
        <v>0</v>
      </c>
      <c r="C34">
        <f>IFERROR(Rimborso!G:G-(Rimborso!G:G/(1+Rimborso!F:F)),0)</f>
        <v>0</v>
      </c>
      <c r="D34" t="str">
        <f>IF(Rimborso!F34=MAX(Rimborso!$F$23:$F$34),"MAX",IF(Rimborso!F34=MIN(Rimborso!$F$23:$F$34),"min","Medio"))</f>
        <v>Medio</v>
      </c>
    </row>
    <row r="35" spans="1:8" x14ac:dyDescent="0.25">
      <c r="C35" t="s">
        <v>176</v>
      </c>
      <c r="G35" t="s">
        <v>177</v>
      </c>
    </row>
    <row r="36" spans="1:8" x14ac:dyDescent="0.25">
      <c r="A36" t="s">
        <v>78</v>
      </c>
      <c r="B36" t="s">
        <v>81</v>
      </c>
      <c r="C36">
        <f>(Rimborso!G38+(Rimborso!G37*Rimborso!G36))</f>
        <v>186.89000000000001</v>
      </c>
      <c r="D36" s="56"/>
      <c r="E36" s="56"/>
      <c r="G36" s="56">
        <f>SUM(H39:H41)</f>
        <v>0</v>
      </c>
    </row>
    <row r="37" spans="1:8" x14ac:dyDescent="0.25">
      <c r="A37">
        <f>(Fattura!G36+(Fattura!G35*Fattura!G34))</f>
        <v>0</v>
      </c>
      <c r="D37" t="s">
        <v>83</v>
      </c>
    </row>
    <row r="38" spans="1:8" x14ac:dyDescent="0.25">
      <c r="B38" t="s">
        <v>79</v>
      </c>
      <c r="C38" t="s">
        <v>80</v>
      </c>
      <c r="D38" s="10" t="s">
        <v>82</v>
      </c>
      <c r="F38" t="s">
        <v>175</v>
      </c>
    </row>
    <row r="39" spans="1:8" x14ac:dyDescent="0.25">
      <c r="A39" t="s">
        <v>75</v>
      </c>
      <c r="B39" s="55">
        <f>MAX(Fattura!F21:F32)</f>
        <v>0</v>
      </c>
      <c r="C39" s="56">
        <f>SUMIF(B21:B32,"MAX",A21:A32)</f>
        <v>0</v>
      </c>
      <c r="D39">
        <f>SUMIF($B$21:$B$32,"MAX",Fattura!$G$21:$G$32)</f>
        <v>0</v>
      </c>
      <c r="E39" s="56">
        <f>IF(A37&gt;D39,0,A37-(A37/(1+MAX(Fattura!F21:F32))))</f>
        <v>0</v>
      </c>
      <c r="F39">
        <f>SUMIF(D23:D34,"MAX",C23:C34)</f>
        <v>5.4098360655737707</v>
      </c>
      <c r="G39">
        <f>SUMIF($D$23:$D$34,"MAX",Rimborso!$G$23:$G$34)</f>
        <v>30</v>
      </c>
      <c r="H39" s="56">
        <f>IF(C36&gt;G39,0,C36-(C36/(1+MAX(Rimborso!F23:F34))))</f>
        <v>0</v>
      </c>
    </row>
    <row r="40" spans="1:8" x14ac:dyDescent="0.25">
      <c r="A40" t="s">
        <v>76</v>
      </c>
      <c r="B40" s="55">
        <f>IFERROR(AVERAGEIF(B21:B32,"Medio",Fattura!F21:F32),0)</f>
        <v>0</v>
      </c>
      <c r="C40" s="56">
        <f>SUMIF(B21:B32,"Medio",A21:A32)</f>
        <v>0</v>
      </c>
      <c r="D40">
        <f>SUMIF($B$21:$B$32,"Medio",Fattura!$G$21:$G$32)</f>
        <v>0</v>
      </c>
      <c r="E40" s="57">
        <f>IF(OR(A37&lt;D39,A37&gt;SUM(D39:D40)),0,C39+(A37-D39)-((A37-D39)/(1+IFERROR(AVERAGEIF(B21:B32,"Medio",Fattura!F21:F32),0))))</f>
        <v>0</v>
      </c>
      <c r="F40">
        <f>SUMIF(D23:D34,"Medio",C23:C34)</f>
        <v>0</v>
      </c>
      <c r="G40">
        <f>SUMIF($D$23:$D$34,"Medio",Rimborso!$G$23:$G$34)</f>
        <v>0</v>
      </c>
      <c r="H40" s="56">
        <f>IF(OR(C36&lt;G40,C36&gt;SUM(G39:G40)),0,F39+(C36-G39)-((C36-G39)/(1+IFERROR(AVERAGEIF(D23:D34,"Medio",Rimborso!F23:F34),0))))</f>
        <v>0</v>
      </c>
    </row>
    <row r="41" spans="1:8" x14ac:dyDescent="0.25">
      <c r="A41" t="s">
        <v>77</v>
      </c>
      <c r="B41" s="55">
        <f>MIN(Fattura!F21:F32)</f>
        <v>0</v>
      </c>
      <c r="C41" s="56">
        <f>SUMIF(B21:B32,"min",A21:A32)</f>
        <v>0</v>
      </c>
      <c r="D41">
        <f>SUMIF($B$21:$B$32,"min",Fattura!$G$21:$G$32)</f>
        <v>0</v>
      </c>
      <c r="E41" s="56">
        <f>IF(OR(A37&lt;SUM(D39:D40),A37&gt;=Fattura!G34),0,SUM(C39:C40)+(A37-SUM(D39:D40))-((A37-SUM(D39:D40))/(1+MIN(Fattura!F21:F32))))</f>
        <v>0</v>
      </c>
      <c r="F41">
        <f>SUMIF(D24:D35,"min",C23:C34:D23:D34)</f>
        <v>0</v>
      </c>
      <c r="G41">
        <f>SUMIF($D$23:$D$34,"min",Rimborso!$G$23:$G$34)</f>
        <v>0</v>
      </c>
      <c r="H41" s="56">
        <f>IF(OR(C36&lt;SUM(G39:G40),C36&gt;=Rimborso!G36),0,SUM(Menu!F39:F40)+(Menu!C36-SUM(Menu!G39:G40))-((Menu!C36-SUM(Menu!G39:G40))/(1+MIN(Rimborso!F23:F34))))</f>
        <v>0</v>
      </c>
    </row>
    <row r="42" spans="1:8" x14ac:dyDescent="0.25">
      <c r="B42" s="55"/>
      <c r="C42" s="33"/>
      <c r="D42">
        <f>SUM(Fattura!G21:G32)</f>
        <v>0</v>
      </c>
      <c r="E42" s="56"/>
    </row>
  </sheetData>
  <hyperlinks>
    <hyperlink ref="C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DG1"/>
  <sheetViews>
    <sheetView workbookViewId="0">
      <selection activeCell="E13" sqref="E13"/>
    </sheetView>
  </sheetViews>
  <sheetFormatPr defaultRowHeight="15" x14ac:dyDescent="0.25"/>
  <cols>
    <col min="2" max="2" width="10.7109375" bestFit="1" customWidth="1"/>
    <col min="4" max="4" width="13.5703125" style="58" bestFit="1" customWidth="1"/>
    <col min="37" max="37" width="12.7109375" bestFit="1" customWidth="1"/>
    <col min="38" max="38" width="10.140625" style="12" bestFit="1" customWidth="1"/>
    <col min="39" max="49" width="9.140625" style="12"/>
    <col min="77" max="77" width="10.7109375" bestFit="1" customWidth="1"/>
  </cols>
  <sheetData>
    <row r="1" spans="1:111" x14ac:dyDescent="0.25">
      <c r="A1" t="s">
        <v>59</v>
      </c>
      <c r="B1" s="58" t="s">
        <v>180</v>
      </c>
      <c r="C1" t="s">
        <v>181</v>
      </c>
      <c r="D1" s="58" t="s">
        <v>67</v>
      </c>
      <c r="E1" t="s">
        <v>96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195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60</v>
      </c>
      <c r="W1" t="s">
        <v>36</v>
      </c>
      <c r="X1" t="s">
        <v>37</v>
      </c>
      <c r="Y1" t="s">
        <v>38</v>
      </c>
      <c r="Z1" t="s">
        <v>39</v>
      </c>
      <c r="AA1" t="s">
        <v>41</v>
      </c>
      <c r="AB1" t="s">
        <v>84</v>
      </c>
      <c r="AC1" t="s">
        <v>85</v>
      </c>
      <c r="AD1" t="s">
        <v>86</v>
      </c>
      <c r="AE1" t="s">
        <v>87</v>
      </c>
      <c r="AF1" t="s">
        <v>88</v>
      </c>
      <c r="AG1" t="s">
        <v>89</v>
      </c>
      <c r="AH1" t="s">
        <v>90</v>
      </c>
      <c r="AI1" t="s">
        <v>91</v>
      </c>
      <c r="AJ1" t="s">
        <v>92</v>
      </c>
      <c r="AK1" t="s">
        <v>93</v>
      </c>
      <c r="AL1" t="s">
        <v>94</v>
      </c>
      <c r="AM1" t="s">
        <v>95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2" t="s">
        <v>106</v>
      </c>
      <c r="AX1" s="12" t="s">
        <v>107</v>
      </c>
      <c r="AY1" s="12" t="s">
        <v>108</v>
      </c>
      <c r="AZ1" s="20" t="s">
        <v>109</v>
      </c>
      <c r="BA1" s="20" t="s">
        <v>110</v>
      </c>
      <c r="BB1" s="20" t="s">
        <v>111</v>
      </c>
      <c r="BC1" s="20" t="s">
        <v>112</v>
      </c>
      <c r="BD1" s="20" t="s">
        <v>113</v>
      </c>
      <c r="BE1" s="20" t="s">
        <v>114</v>
      </c>
      <c r="BF1" s="20" t="s">
        <v>115</v>
      </c>
      <c r="BG1" s="20" t="s">
        <v>116</v>
      </c>
      <c r="BH1" s="20" t="s">
        <v>117</v>
      </c>
      <c r="BI1" s="20" t="s">
        <v>118</v>
      </c>
      <c r="BJ1" s="20" t="s">
        <v>119</v>
      </c>
      <c r="BK1" s="20" t="s">
        <v>120</v>
      </c>
      <c r="BL1" s="20" t="s">
        <v>121</v>
      </c>
      <c r="BM1" s="20" t="s">
        <v>122</v>
      </c>
      <c r="BN1" s="20" t="s">
        <v>123</v>
      </c>
      <c r="BO1" s="20" t="s">
        <v>124</v>
      </c>
      <c r="BP1" s="20" t="s">
        <v>125</v>
      </c>
      <c r="BQ1" s="20" t="s">
        <v>126</v>
      </c>
      <c r="BR1" s="20" t="s">
        <v>127</v>
      </c>
      <c r="BS1" s="20" t="s">
        <v>128</v>
      </c>
      <c r="BT1" s="20" t="s">
        <v>129</v>
      </c>
      <c r="BU1" s="20" t="s">
        <v>130</v>
      </c>
      <c r="BV1" s="20" t="s">
        <v>131</v>
      </c>
      <c r="BW1" s="20" t="s">
        <v>132</v>
      </c>
      <c r="BX1" s="20" t="s">
        <v>133</v>
      </c>
      <c r="BY1" s="20" t="s">
        <v>134</v>
      </c>
      <c r="BZ1" s="20" t="s">
        <v>135</v>
      </c>
      <c r="CA1" s="20" t="s">
        <v>136</v>
      </c>
      <c r="CB1" s="20" t="s">
        <v>137</v>
      </c>
      <c r="CC1" s="20" t="s">
        <v>138</v>
      </c>
      <c r="CD1" s="20" t="s">
        <v>139</v>
      </c>
      <c r="CE1" s="20" t="s">
        <v>140</v>
      </c>
      <c r="CF1" s="20" t="s">
        <v>141</v>
      </c>
      <c r="CG1" s="20" t="s">
        <v>142</v>
      </c>
      <c r="CH1" s="20" t="s">
        <v>143</v>
      </c>
      <c r="CI1" s="20" t="s">
        <v>144</v>
      </c>
      <c r="CJ1" t="s">
        <v>45</v>
      </c>
      <c r="CK1" t="s">
        <v>42</v>
      </c>
      <c r="CL1" t="s">
        <v>43</v>
      </c>
      <c r="CM1" t="s">
        <v>44</v>
      </c>
      <c r="CN1" t="s">
        <v>47</v>
      </c>
      <c r="CO1" t="s">
        <v>46</v>
      </c>
      <c r="CP1" t="s">
        <v>145</v>
      </c>
      <c r="CQ1" t="s">
        <v>146</v>
      </c>
      <c r="CR1" t="s">
        <v>147</v>
      </c>
      <c r="CS1" t="s">
        <v>148</v>
      </c>
      <c r="CT1" t="s">
        <v>149</v>
      </c>
      <c r="CU1" t="s">
        <v>150</v>
      </c>
      <c r="CV1" t="s">
        <v>151</v>
      </c>
      <c r="CW1" t="s">
        <v>152</v>
      </c>
      <c r="CX1" t="s">
        <v>153</v>
      </c>
      <c r="CY1" t="s">
        <v>154</v>
      </c>
      <c r="CZ1" t="s">
        <v>155</v>
      </c>
      <c r="DA1" t="s">
        <v>156</v>
      </c>
      <c r="DB1" t="s">
        <v>157</v>
      </c>
      <c r="DC1" t="s">
        <v>158</v>
      </c>
      <c r="DD1" t="s">
        <v>159</v>
      </c>
      <c r="DE1" t="str">
        <f>A:A&amp;"-"&amp;C:C</f>
        <v>n Fattura-Anno</v>
      </c>
      <c r="DF1">
        <f>COUNTIF(DE:DE,DE1)</f>
        <v>1</v>
      </c>
      <c r="DG1" t="s">
        <v>197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CW1"/>
  <sheetViews>
    <sheetView topLeftCell="CF1" workbookViewId="0">
      <selection activeCell="CI9" sqref="CI9"/>
    </sheetView>
  </sheetViews>
  <sheetFormatPr defaultRowHeight="15" x14ac:dyDescent="0.25"/>
  <cols>
    <col min="2" max="2" width="10.7109375" bestFit="1" customWidth="1"/>
  </cols>
  <sheetData>
    <row r="1" spans="1:101" x14ac:dyDescent="0.25">
      <c r="A1" t="s">
        <v>182</v>
      </c>
      <c r="B1" s="58" t="s">
        <v>180</v>
      </c>
      <c r="C1" t="s">
        <v>181</v>
      </c>
      <c r="D1" t="s">
        <v>183</v>
      </c>
      <c r="E1" t="s">
        <v>19</v>
      </c>
      <c r="F1" s="58" t="s">
        <v>184</v>
      </c>
      <c r="G1" t="s">
        <v>96</v>
      </c>
      <c r="H1" t="s">
        <v>188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195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60</v>
      </c>
      <c r="Z1" t="s">
        <v>36</v>
      </c>
      <c r="AA1" t="s">
        <v>37</v>
      </c>
      <c r="AB1" t="s">
        <v>38</v>
      </c>
      <c r="AC1" t="s">
        <v>39</v>
      </c>
      <c r="AD1" t="s">
        <v>41</v>
      </c>
      <c r="AE1" t="s">
        <v>84</v>
      </c>
      <c r="AF1" t="s">
        <v>85</v>
      </c>
      <c r="AG1" t="s">
        <v>86</v>
      </c>
      <c r="AH1" t="s">
        <v>87</v>
      </c>
      <c r="AI1" t="s">
        <v>88</v>
      </c>
      <c r="AJ1" t="s">
        <v>89</v>
      </c>
      <c r="AK1" t="s">
        <v>90</v>
      </c>
      <c r="AL1" t="s">
        <v>91</v>
      </c>
      <c r="AM1" t="s">
        <v>92</v>
      </c>
      <c r="AN1" t="s">
        <v>93</v>
      </c>
      <c r="AO1" t="s">
        <v>94</v>
      </c>
      <c r="AP1" t="s">
        <v>95</v>
      </c>
      <c r="AQ1" s="12" t="s">
        <v>97</v>
      </c>
      <c r="AR1" s="12" t="s">
        <v>98</v>
      </c>
      <c r="AS1" s="12" t="s">
        <v>99</v>
      </c>
      <c r="AT1" s="12" t="s">
        <v>100</v>
      </c>
      <c r="AU1" s="12" t="s">
        <v>101</v>
      </c>
      <c r="AV1" s="12" t="s">
        <v>102</v>
      </c>
      <c r="AW1" s="12" t="s">
        <v>103</v>
      </c>
      <c r="AX1" s="12" t="s">
        <v>104</v>
      </c>
      <c r="AY1" s="12" t="s">
        <v>105</v>
      </c>
      <c r="AZ1" s="12" t="s">
        <v>106</v>
      </c>
      <c r="BA1" s="12" t="s">
        <v>107</v>
      </c>
      <c r="BB1" s="12" t="s">
        <v>108</v>
      </c>
      <c r="BC1" s="20" t="s">
        <v>109</v>
      </c>
      <c r="BD1" s="20" t="s">
        <v>110</v>
      </c>
      <c r="BE1" s="20" t="s">
        <v>111</v>
      </c>
      <c r="BF1" s="20" t="s">
        <v>112</v>
      </c>
      <c r="BG1" s="20" t="s">
        <v>113</v>
      </c>
      <c r="BH1" s="20" t="s">
        <v>114</v>
      </c>
      <c r="BI1" s="20" t="s">
        <v>115</v>
      </c>
      <c r="BJ1" s="20" t="s">
        <v>116</v>
      </c>
      <c r="BK1" s="20" t="s">
        <v>117</v>
      </c>
      <c r="BL1" s="20" t="s">
        <v>118</v>
      </c>
      <c r="BM1" s="20" t="s">
        <v>119</v>
      </c>
      <c r="BN1" s="20" t="s">
        <v>120</v>
      </c>
      <c r="BO1" s="20" t="s">
        <v>121</v>
      </c>
      <c r="BP1" s="20" t="s">
        <v>122</v>
      </c>
      <c r="BQ1" s="20" t="s">
        <v>123</v>
      </c>
      <c r="BR1" s="20" t="s">
        <v>124</v>
      </c>
      <c r="BS1" s="20" t="s">
        <v>125</v>
      </c>
      <c r="BT1" s="20" t="s">
        <v>126</v>
      </c>
      <c r="BU1" s="20" t="s">
        <v>127</v>
      </c>
      <c r="BV1" s="20" t="s">
        <v>128</v>
      </c>
      <c r="BW1" s="20" t="s">
        <v>129</v>
      </c>
      <c r="BX1" s="20" t="s">
        <v>130</v>
      </c>
      <c r="BY1" s="20" t="s">
        <v>131</v>
      </c>
      <c r="BZ1" s="20" t="s">
        <v>132</v>
      </c>
      <c r="CA1" s="20" t="s">
        <v>133</v>
      </c>
      <c r="CB1" s="20" t="s">
        <v>134</v>
      </c>
      <c r="CC1" s="20" t="s">
        <v>135</v>
      </c>
      <c r="CD1" s="20" t="s">
        <v>136</v>
      </c>
      <c r="CE1" s="20" t="s">
        <v>137</v>
      </c>
      <c r="CF1" s="20" t="s">
        <v>138</v>
      </c>
      <c r="CG1" s="20" t="s">
        <v>139</v>
      </c>
      <c r="CH1" s="20" t="s">
        <v>140</v>
      </c>
      <c r="CI1" s="20" t="s">
        <v>141</v>
      </c>
      <c r="CJ1" s="20" t="s">
        <v>142</v>
      </c>
      <c r="CK1" s="20" t="s">
        <v>143</v>
      </c>
      <c r="CL1" s="20" t="s">
        <v>144</v>
      </c>
      <c r="CM1" t="s">
        <v>44</v>
      </c>
      <c r="CN1" t="s">
        <v>47</v>
      </c>
      <c r="CO1" t="s">
        <v>46</v>
      </c>
      <c r="CP1" t="s">
        <v>151</v>
      </c>
      <c r="CQ1" t="s">
        <v>152</v>
      </c>
      <c r="CR1" t="s">
        <v>153</v>
      </c>
      <c r="CS1" t="s">
        <v>158</v>
      </c>
      <c r="CT1" t="s">
        <v>159</v>
      </c>
      <c r="CU1" t="s">
        <v>190</v>
      </c>
      <c r="CV1" t="s">
        <v>189</v>
      </c>
      <c r="CW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Fattura</vt:lpstr>
      <vt:lpstr>Rimborso</vt:lpstr>
      <vt:lpstr>Recupero</vt:lpstr>
      <vt:lpstr>Menu</vt:lpstr>
      <vt:lpstr>Archivio</vt:lpstr>
      <vt:lpstr>DB_NotedC.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2017-07-25T17:00:35Z</dcterms:modified>
</cp:coreProperties>
</file>